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A5887940-F064-40A8-B323-F2475B969A6B}" xr6:coauthVersionLast="36" xr6:coauthVersionMax="36" xr10:uidLastSave="{00000000-0000-0000-0000-000000000000}"/>
  <bookViews>
    <workbookView xWindow="-120" yWindow="-120" windowWidth="29040" windowHeight="15840" tabRatio="691" firstSheet="4" activeTab="6" xr2:uid="{C4EF3451-3D29-4144-9918-209B1DEA38D2}"/>
  </bookViews>
  <sheets>
    <sheet name="Lamp I" sheetId="4" r:id="rId1"/>
    <sheet name="Realisasi" sheetId="3" r:id="rId2"/>
    <sheet name="CALK" sheetId="1" r:id="rId3"/>
    <sheet name="Lampiran II" sheetId="5" r:id="rId4"/>
    <sheet name="Lampiran III" sheetId="6" r:id="rId5"/>
    <sheet name="Aset Per 31 Desember 2025" sheetId="7" r:id="rId6"/>
    <sheet name="Mutasi Aset_2025" sheetId="8" r:id="rId7"/>
  </sheets>
  <externalReferences>
    <externalReference r:id="rId8"/>
  </externalReferences>
  <definedNames>
    <definedName name="\Z" localSheetId="3">#REF!</definedName>
    <definedName name="\Z" localSheetId="6">#REF!</definedName>
    <definedName name="\Z">#REF!</definedName>
    <definedName name="_xlnm._FilterDatabase" localSheetId="5" hidden="1">'Aset Per 31 Desember 2025'!$A$8:$L$1735</definedName>
    <definedName name="_xlnm._FilterDatabase" localSheetId="3" hidden="1">'Lampiran II'!$B$19:$U$915</definedName>
    <definedName name="_xlnm._FilterDatabase" localSheetId="6" hidden="1">'Mutasi Aset_2025'!$A$10:$T$335</definedName>
    <definedName name="_xlnm.Print_Area" localSheetId="5">'Aset Per 31 Desember 2025'!$A$1:$L$1762</definedName>
    <definedName name="_xlnm.Print_Area" localSheetId="2">CALK!$A$1:$X$571</definedName>
    <definedName name="_xlnm.Print_Area" localSheetId="6">'Mutasi Aset_2025'!$A$1:$T$375</definedName>
    <definedName name="_xlnm.Print_Area" localSheetId="1">Realisasi!$A$1:$F$53</definedName>
    <definedName name="_xlnm.Print_Area">'[1]F-25.b LEMBAR CATATAN'!$A$3:$L$68</definedName>
    <definedName name="_xlnm.Print_Titles" localSheetId="5">'Aset Per 31 Desember 2025'!$6:$8</definedName>
    <definedName name="_xlnm.Print_Titles" localSheetId="3">'Lampiran II'!$16:$19</definedName>
    <definedName name="_xlnm.Print_Titles" localSheetId="6">'Mutasi Aset_2025'!$A:$T,'Mutasi Aset_2025'!$6:$10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4" i="7" l="1"/>
  <c r="E28" i="3"/>
  <c r="R910" i="5"/>
  <c r="R905" i="5"/>
  <c r="R904" i="5"/>
  <c r="R892" i="5"/>
  <c r="R891" i="5"/>
  <c r="R877" i="5"/>
  <c r="R876" i="5"/>
  <c r="R867" i="5"/>
  <c r="R845" i="5"/>
  <c r="R806" i="5"/>
  <c r="R805" i="5"/>
  <c r="R776" i="5"/>
  <c r="R775" i="5"/>
  <c r="R774" i="5"/>
  <c r="R766" i="5"/>
  <c r="R758" i="5"/>
  <c r="R733" i="5"/>
  <c r="R718" i="5"/>
  <c r="R707" i="5"/>
  <c r="R706" i="5"/>
  <c r="R698" i="5"/>
  <c r="R697" i="5"/>
  <c r="R686" i="5"/>
  <c r="R685" i="5"/>
  <c r="R672" i="5"/>
  <c r="R661" i="5"/>
  <c r="R649" i="5"/>
  <c r="R648" i="5"/>
  <c r="R638" i="5"/>
  <c r="R637" i="5"/>
  <c r="R631" i="5"/>
  <c r="R630" i="5"/>
  <c r="R619" i="5"/>
  <c r="R618" i="5"/>
  <c r="R605" i="5"/>
  <c r="R557" i="5"/>
  <c r="R539" i="5"/>
  <c r="R538" i="5"/>
  <c r="R526" i="5"/>
  <c r="R518" i="5"/>
  <c r="R508" i="5"/>
  <c r="R485" i="5"/>
  <c r="R473" i="5"/>
  <c r="R472" i="5"/>
  <c r="R457" i="5"/>
  <c r="R442" i="5"/>
  <c r="R430" i="5"/>
  <c r="R414" i="5"/>
  <c r="R413" i="5"/>
  <c r="R412" i="5"/>
  <c r="R404" i="5"/>
  <c r="R379" i="5"/>
  <c r="R372" i="5"/>
  <c r="R362" i="5"/>
  <c r="R346" i="5"/>
  <c r="R324" i="5"/>
  <c r="R305" i="5"/>
  <c r="R298" i="5"/>
  <c r="R286" i="5"/>
  <c r="R285" i="5"/>
  <c r="R276" i="5"/>
  <c r="R240" i="5"/>
  <c r="R239" i="5"/>
  <c r="R233" i="5"/>
  <c r="R226" i="5"/>
  <c r="R207" i="5"/>
  <c r="R202" i="5"/>
  <c r="R194" i="5"/>
  <c r="R193" i="5"/>
  <c r="R156" i="5"/>
  <c r="R149" i="5"/>
  <c r="R139" i="5"/>
  <c r="R132" i="5"/>
  <c r="R80" i="5"/>
  <c r="R53" i="5"/>
  <c r="Q605" i="5"/>
  <c r="Q557" i="5"/>
  <c r="G37" i="6"/>
  <c r="P84" i="5"/>
  <c r="P87" i="5"/>
  <c r="P89" i="5"/>
  <c r="P91" i="5"/>
  <c r="P96" i="5"/>
  <c r="P101" i="5"/>
  <c r="T226" i="8"/>
  <c r="I226" i="8"/>
  <c r="I220" i="8"/>
  <c r="I128" i="8"/>
  <c r="P224" i="8"/>
  <c r="R224" i="8" s="1"/>
  <c r="R220" i="8" s="1"/>
  <c r="R226" i="8" s="1"/>
  <c r="O224" i="8"/>
  <c r="O223" i="8"/>
  <c r="K223" i="8"/>
  <c r="F223" i="8"/>
  <c r="G223" i="8" s="1"/>
  <c r="P223" i="8" s="1"/>
  <c r="C223" i="8"/>
  <c r="C224" i="8" s="1"/>
  <c r="P222" i="8"/>
  <c r="O222" i="8"/>
  <c r="K222" i="8"/>
  <c r="G222" i="8"/>
  <c r="C222" i="8"/>
  <c r="O221" i="8"/>
  <c r="G221" i="8"/>
  <c r="P221" i="8" s="1"/>
  <c r="S220" i="8"/>
  <c r="Q220" i="8"/>
  <c r="O220" i="8"/>
  <c r="N220" i="8"/>
  <c r="L220" i="8"/>
  <c r="L226" i="8" s="1"/>
  <c r="K220" i="8"/>
  <c r="O218" i="8"/>
  <c r="N218" i="8"/>
  <c r="K218" i="8"/>
  <c r="P218" i="8" s="1"/>
  <c r="O217" i="8"/>
  <c r="N217" i="8"/>
  <c r="K217" i="8"/>
  <c r="P217" i="8" s="1"/>
  <c r="O216" i="8"/>
  <c r="N216" i="8"/>
  <c r="K216" i="8"/>
  <c r="P216" i="8" s="1"/>
  <c r="Q216" i="8" s="1"/>
  <c r="Q160" i="8" s="1"/>
  <c r="O215" i="8"/>
  <c r="N215" i="8"/>
  <c r="K215" i="8"/>
  <c r="G215" i="8"/>
  <c r="P215" i="8" s="1"/>
  <c r="O214" i="8"/>
  <c r="N214" i="8"/>
  <c r="K214" i="8"/>
  <c r="G214" i="8"/>
  <c r="P214" i="8" s="1"/>
  <c r="O213" i="8"/>
  <c r="N213" i="8"/>
  <c r="K213" i="8"/>
  <c r="G213" i="8"/>
  <c r="P213" i="8" s="1"/>
  <c r="O212" i="8"/>
  <c r="N212" i="8"/>
  <c r="K212" i="8"/>
  <c r="G212" i="8"/>
  <c r="P212" i="8" s="1"/>
  <c r="O211" i="8"/>
  <c r="N211" i="8"/>
  <c r="K211" i="8"/>
  <c r="G211" i="8"/>
  <c r="P211" i="8" s="1"/>
  <c r="O210" i="8"/>
  <c r="N210" i="8"/>
  <c r="K210" i="8"/>
  <c r="G210" i="8"/>
  <c r="P210" i="8" s="1"/>
  <c r="O209" i="8"/>
  <c r="N209" i="8"/>
  <c r="K209" i="8"/>
  <c r="G209" i="8"/>
  <c r="P209" i="8" s="1"/>
  <c r="O208" i="8"/>
  <c r="N208" i="8"/>
  <c r="K208" i="8"/>
  <c r="G208" i="8"/>
  <c r="P208" i="8" s="1"/>
  <c r="O207" i="8"/>
  <c r="N207" i="8"/>
  <c r="K207" i="8"/>
  <c r="G207" i="8"/>
  <c r="P207" i="8" s="1"/>
  <c r="O206" i="8"/>
  <c r="N206" i="8"/>
  <c r="K206" i="8"/>
  <c r="G206" i="8"/>
  <c r="P206" i="8" s="1"/>
  <c r="O205" i="8"/>
  <c r="N205" i="8"/>
  <c r="K205" i="8"/>
  <c r="G205" i="8"/>
  <c r="P205" i="8" s="1"/>
  <c r="O204" i="8"/>
  <c r="N204" i="8"/>
  <c r="K204" i="8"/>
  <c r="G204" i="8"/>
  <c r="P204" i="8" s="1"/>
  <c r="O203" i="8"/>
  <c r="N203" i="8"/>
  <c r="K203" i="8"/>
  <c r="G203" i="8"/>
  <c r="P203" i="8" s="1"/>
  <c r="O202" i="8"/>
  <c r="N202" i="8"/>
  <c r="K202" i="8"/>
  <c r="G202" i="8"/>
  <c r="P202" i="8" s="1"/>
  <c r="O201" i="8"/>
  <c r="N201" i="8"/>
  <c r="K201" i="8"/>
  <c r="G201" i="8"/>
  <c r="P201" i="8" s="1"/>
  <c r="O200" i="8"/>
  <c r="N200" i="8"/>
  <c r="K200" i="8"/>
  <c r="G200" i="8"/>
  <c r="P200" i="8" s="1"/>
  <c r="O199" i="8"/>
  <c r="N199" i="8"/>
  <c r="K199" i="8"/>
  <c r="G199" i="8"/>
  <c r="P199" i="8" s="1"/>
  <c r="O198" i="8"/>
  <c r="N198" i="8"/>
  <c r="K198" i="8"/>
  <c r="G198" i="8"/>
  <c r="P198" i="8" s="1"/>
  <c r="O197" i="8"/>
  <c r="N197" i="8"/>
  <c r="K197" i="8"/>
  <c r="G197" i="8"/>
  <c r="P197" i="8" s="1"/>
  <c r="O196" i="8"/>
  <c r="N196" i="8"/>
  <c r="K196" i="8"/>
  <c r="G196" i="8"/>
  <c r="P196" i="8" s="1"/>
  <c r="O195" i="8"/>
  <c r="N195" i="8"/>
  <c r="K195" i="8"/>
  <c r="G195" i="8"/>
  <c r="P195" i="8" s="1"/>
  <c r="O194" i="8"/>
  <c r="N194" i="8"/>
  <c r="K194" i="8"/>
  <c r="G194" i="8"/>
  <c r="P194" i="8" s="1"/>
  <c r="O193" i="8"/>
  <c r="N193" i="8"/>
  <c r="K193" i="8"/>
  <c r="G193" i="8"/>
  <c r="P193" i="8" s="1"/>
  <c r="O192" i="8"/>
  <c r="N192" i="8"/>
  <c r="K192" i="8"/>
  <c r="G192" i="8"/>
  <c r="P192" i="8" s="1"/>
  <c r="O191" i="8"/>
  <c r="N191" i="8"/>
  <c r="K191" i="8"/>
  <c r="G191" i="8"/>
  <c r="P191" i="8" s="1"/>
  <c r="O190" i="8"/>
  <c r="N190" i="8"/>
  <c r="K190" i="8"/>
  <c r="G190" i="8"/>
  <c r="P190" i="8" s="1"/>
  <c r="O189" i="8"/>
  <c r="N189" i="8"/>
  <c r="K189" i="8"/>
  <c r="G189" i="8"/>
  <c r="P189" i="8" s="1"/>
  <c r="O188" i="8"/>
  <c r="N188" i="8"/>
  <c r="K188" i="8"/>
  <c r="G188" i="8"/>
  <c r="P188" i="8" s="1"/>
  <c r="O187" i="8"/>
  <c r="N187" i="8"/>
  <c r="K187" i="8"/>
  <c r="G187" i="8"/>
  <c r="P187" i="8" s="1"/>
  <c r="O186" i="8"/>
  <c r="N186" i="8"/>
  <c r="K186" i="8"/>
  <c r="G186" i="8"/>
  <c r="P186" i="8" s="1"/>
  <c r="O185" i="8"/>
  <c r="N185" i="8"/>
  <c r="K185" i="8"/>
  <c r="G185" i="8"/>
  <c r="P185" i="8" s="1"/>
  <c r="O184" i="8"/>
  <c r="N184" i="8"/>
  <c r="K184" i="8"/>
  <c r="G184" i="8"/>
  <c r="P184" i="8" s="1"/>
  <c r="O183" i="8"/>
  <c r="N183" i="8"/>
  <c r="K183" i="8"/>
  <c r="G183" i="8"/>
  <c r="P183" i="8" s="1"/>
  <c r="O182" i="8"/>
  <c r="N182" i="8"/>
  <c r="K182" i="8"/>
  <c r="G182" i="8"/>
  <c r="P182" i="8" s="1"/>
  <c r="O181" i="8"/>
  <c r="N181" i="8"/>
  <c r="K181" i="8"/>
  <c r="G181" i="8"/>
  <c r="P181" i="8" s="1"/>
  <c r="O180" i="8"/>
  <c r="N180" i="8"/>
  <c r="K180" i="8"/>
  <c r="G180" i="8"/>
  <c r="P180" i="8" s="1"/>
  <c r="O179" i="8"/>
  <c r="N179" i="8"/>
  <c r="K179" i="8"/>
  <c r="G179" i="8"/>
  <c r="P179" i="8" s="1"/>
  <c r="O178" i="8"/>
  <c r="N178" i="8"/>
  <c r="K178" i="8"/>
  <c r="G178" i="8"/>
  <c r="P178" i="8" s="1"/>
  <c r="O177" i="8"/>
  <c r="N177" i="8"/>
  <c r="K177" i="8"/>
  <c r="G177" i="8"/>
  <c r="P177" i="8" s="1"/>
  <c r="O176" i="8"/>
  <c r="N176" i="8"/>
  <c r="K176" i="8"/>
  <c r="G176" i="8"/>
  <c r="P176" i="8" s="1"/>
  <c r="O175" i="8"/>
  <c r="N175" i="8"/>
  <c r="K175" i="8"/>
  <c r="G175" i="8"/>
  <c r="P175" i="8" s="1"/>
  <c r="O174" i="8"/>
  <c r="N174" i="8"/>
  <c r="K174" i="8"/>
  <c r="G174" i="8"/>
  <c r="P174" i="8" s="1"/>
  <c r="O173" i="8"/>
  <c r="N173" i="8"/>
  <c r="K173" i="8"/>
  <c r="G173" i="8"/>
  <c r="P173" i="8" s="1"/>
  <c r="O172" i="8"/>
  <c r="N172" i="8"/>
  <c r="K172" i="8"/>
  <c r="G172" i="8"/>
  <c r="P172" i="8" s="1"/>
  <c r="O171" i="8"/>
  <c r="N171" i="8"/>
  <c r="K171" i="8"/>
  <c r="G171" i="8"/>
  <c r="P171" i="8" s="1"/>
  <c r="O170" i="8"/>
  <c r="N170" i="8"/>
  <c r="K170" i="8"/>
  <c r="G170" i="8"/>
  <c r="P170" i="8" s="1"/>
  <c r="O169" i="8"/>
  <c r="N169" i="8"/>
  <c r="K169" i="8"/>
  <c r="G169" i="8"/>
  <c r="P169" i="8" s="1"/>
  <c r="O168" i="8"/>
  <c r="N168" i="8"/>
  <c r="K168" i="8"/>
  <c r="G168" i="8"/>
  <c r="P168" i="8" s="1"/>
  <c r="O167" i="8"/>
  <c r="N167" i="8"/>
  <c r="K167" i="8"/>
  <c r="G167" i="8"/>
  <c r="P167" i="8" s="1"/>
  <c r="O166" i="8"/>
  <c r="N166" i="8"/>
  <c r="K166" i="8"/>
  <c r="G166" i="8"/>
  <c r="P166" i="8" s="1"/>
  <c r="O165" i="8"/>
  <c r="N165" i="8"/>
  <c r="K165" i="8"/>
  <c r="G165" i="8"/>
  <c r="P165" i="8" s="1"/>
  <c r="O164" i="8"/>
  <c r="N164" i="8"/>
  <c r="K164" i="8"/>
  <c r="G164" i="8"/>
  <c r="P164" i="8" s="1"/>
  <c r="O163" i="8"/>
  <c r="N163" i="8"/>
  <c r="K163" i="8"/>
  <c r="G163" i="8"/>
  <c r="P163" i="8" s="1"/>
  <c r="C163" i="8"/>
  <c r="C164" i="8" s="1"/>
  <c r="C165" i="8" s="1"/>
  <c r="C166" i="8" s="1"/>
  <c r="C167" i="8" s="1"/>
  <c r="C168" i="8" s="1"/>
  <c r="C169" i="8" s="1"/>
  <c r="C170" i="8" s="1"/>
  <c r="C171" i="8" s="1"/>
  <c r="C172" i="8" s="1"/>
  <c r="C173" i="8" s="1"/>
  <c r="C174" i="8" s="1"/>
  <c r="C175" i="8" s="1"/>
  <c r="C176" i="8" s="1"/>
  <c r="C177" i="8" s="1"/>
  <c r="C178" i="8" s="1"/>
  <c r="C179" i="8" s="1"/>
  <c r="C180" i="8" s="1"/>
  <c r="C181" i="8" s="1"/>
  <c r="C182" i="8" s="1"/>
  <c r="C183" i="8" s="1"/>
  <c r="C184" i="8" s="1"/>
  <c r="C185" i="8" s="1"/>
  <c r="C186" i="8" s="1"/>
  <c r="C187" i="8" s="1"/>
  <c r="C188" i="8" s="1"/>
  <c r="C189" i="8" s="1"/>
  <c r="C190" i="8" s="1"/>
  <c r="C191" i="8" s="1"/>
  <c r="C192" i="8" s="1"/>
  <c r="C193" i="8" s="1"/>
  <c r="C194" i="8" s="1"/>
  <c r="C195" i="8" s="1"/>
  <c r="C196" i="8" s="1"/>
  <c r="C197" i="8" s="1"/>
  <c r="C198" i="8" s="1"/>
  <c r="C199" i="8" s="1"/>
  <c r="C200" i="8" s="1"/>
  <c r="C201" i="8" s="1"/>
  <c r="C202" i="8" s="1"/>
  <c r="C203" i="8" s="1"/>
  <c r="C204" i="8" s="1"/>
  <c r="C205" i="8" s="1"/>
  <c r="C206" i="8" s="1"/>
  <c r="C207" i="8" s="1"/>
  <c r="C208" i="8" s="1"/>
  <c r="C209" i="8" s="1"/>
  <c r="C210" i="8" s="1"/>
  <c r="C211" i="8" s="1"/>
  <c r="C212" i="8" s="1"/>
  <c r="C213" i="8" s="1"/>
  <c r="C214" i="8" s="1"/>
  <c r="C215" i="8" s="1"/>
  <c r="C216" i="8" s="1"/>
  <c r="C217" i="8" s="1"/>
  <c r="C218" i="8" s="1"/>
  <c r="O162" i="8"/>
  <c r="N162" i="8"/>
  <c r="K162" i="8"/>
  <c r="G162" i="8"/>
  <c r="P162" i="8" s="1"/>
  <c r="C162" i="8"/>
  <c r="O161" i="8"/>
  <c r="N161" i="8"/>
  <c r="K161" i="8"/>
  <c r="G161" i="8"/>
  <c r="P161" i="8" s="1"/>
  <c r="S160" i="8"/>
  <c r="R160" i="8"/>
  <c r="L160" i="8"/>
  <c r="I160" i="8"/>
  <c r="G160" i="8"/>
  <c r="P158" i="8"/>
  <c r="Q158" i="8" s="1"/>
  <c r="Q128" i="8" s="1"/>
  <c r="O158" i="8"/>
  <c r="N158" i="8"/>
  <c r="K158" i="8"/>
  <c r="O157" i="8"/>
  <c r="N157" i="8"/>
  <c r="K157" i="8"/>
  <c r="P157" i="8" s="1"/>
  <c r="S157" i="8" s="1"/>
  <c r="S128" i="8" s="1"/>
  <c r="O156" i="8"/>
  <c r="N156" i="8"/>
  <c r="P156" i="8" s="1"/>
  <c r="K156" i="8"/>
  <c r="O155" i="8"/>
  <c r="N155" i="8"/>
  <c r="K155" i="8"/>
  <c r="G155" i="8"/>
  <c r="P155" i="8" s="1"/>
  <c r="O154" i="8"/>
  <c r="N154" i="8"/>
  <c r="K154" i="8"/>
  <c r="P154" i="8" s="1"/>
  <c r="G154" i="8"/>
  <c r="O153" i="8"/>
  <c r="N153" i="8"/>
  <c r="K153" i="8"/>
  <c r="G153" i="8"/>
  <c r="P153" i="8" s="1"/>
  <c r="O152" i="8"/>
  <c r="N152" i="8"/>
  <c r="K152" i="8"/>
  <c r="P152" i="8" s="1"/>
  <c r="G152" i="8"/>
  <c r="O151" i="8"/>
  <c r="N151" i="8"/>
  <c r="K151" i="8"/>
  <c r="G151" i="8"/>
  <c r="P151" i="8" s="1"/>
  <c r="O150" i="8"/>
  <c r="N150" i="8"/>
  <c r="K150" i="8"/>
  <c r="P150" i="8" s="1"/>
  <c r="G150" i="8"/>
  <c r="O149" i="8"/>
  <c r="N149" i="8"/>
  <c r="K149" i="8"/>
  <c r="G149" i="8"/>
  <c r="P149" i="8" s="1"/>
  <c r="O148" i="8"/>
  <c r="N148" i="8"/>
  <c r="K148" i="8"/>
  <c r="P148" i="8" s="1"/>
  <c r="G148" i="8"/>
  <c r="O147" i="8"/>
  <c r="N147" i="8"/>
  <c r="K147" i="8"/>
  <c r="G147" i="8"/>
  <c r="P147" i="8" s="1"/>
  <c r="P146" i="8"/>
  <c r="O146" i="8"/>
  <c r="N146" i="8"/>
  <c r="K146" i="8"/>
  <c r="G146" i="8"/>
  <c r="O145" i="8"/>
  <c r="N145" i="8"/>
  <c r="K145" i="8"/>
  <c r="F145" i="8"/>
  <c r="G145" i="8" s="1"/>
  <c r="P145" i="8" s="1"/>
  <c r="O144" i="8"/>
  <c r="N144" i="8"/>
  <c r="P144" i="8" s="1"/>
  <c r="K144" i="8"/>
  <c r="F144" i="8"/>
  <c r="G144" i="8" s="1"/>
  <c r="O143" i="8"/>
  <c r="N143" i="8"/>
  <c r="K143" i="8"/>
  <c r="F143" i="8"/>
  <c r="G143" i="8" s="1"/>
  <c r="P143" i="8" s="1"/>
  <c r="O142" i="8"/>
  <c r="N142" i="8"/>
  <c r="K142" i="8"/>
  <c r="F142" i="8"/>
  <c r="G142" i="8" s="1"/>
  <c r="P142" i="8" s="1"/>
  <c r="O141" i="8"/>
  <c r="N141" i="8"/>
  <c r="K141" i="8"/>
  <c r="F141" i="8"/>
  <c r="G141" i="8" s="1"/>
  <c r="P141" i="8" s="1"/>
  <c r="O140" i="8"/>
  <c r="N140" i="8"/>
  <c r="K140" i="8"/>
  <c r="G140" i="8"/>
  <c r="P140" i="8" s="1"/>
  <c r="O139" i="8"/>
  <c r="N139" i="8"/>
  <c r="P139" i="8" s="1"/>
  <c r="K139" i="8"/>
  <c r="G139" i="8"/>
  <c r="O138" i="8"/>
  <c r="N138" i="8"/>
  <c r="K138" i="8"/>
  <c r="G138" i="8"/>
  <c r="P138" i="8" s="1"/>
  <c r="O137" i="8"/>
  <c r="N137" i="8"/>
  <c r="K137" i="8"/>
  <c r="G137" i="8"/>
  <c r="P137" i="8" s="1"/>
  <c r="O136" i="8"/>
  <c r="N136" i="8"/>
  <c r="K136" i="8"/>
  <c r="G136" i="8"/>
  <c r="P136" i="8" s="1"/>
  <c r="O135" i="8"/>
  <c r="N135" i="8"/>
  <c r="K135" i="8"/>
  <c r="G135" i="8"/>
  <c r="P135" i="8" s="1"/>
  <c r="O134" i="8"/>
  <c r="N134" i="8"/>
  <c r="K134" i="8"/>
  <c r="G134" i="8"/>
  <c r="P134" i="8" s="1"/>
  <c r="O133" i="8"/>
  <c r="N133" i="8"/>
  <c r="K133" i="8"/>
  <c r="G133" i="8"/>
  <c r="P133" i="8" s="1"/>
  <c r="O132" i="8"/>
  <c r="N132" i="8"/>
  <c r="K132" i="8"/>
  <c r="F132" i="8"/>
  <c r="G132" i="8" s="1"/>
  <c r="P132" i="8" s="1"/>
  <c r="C132" i="8"/>
  <c r="C133" i="8" s="1"/>
  <c r="C134" i="8" s="1"/>
  <c r="C135" i="8" s="1"/>
  <c r="C136" i="8" s="1"/>
  <c r="C137" i="8" s="1"/>
  <c r="C138" i="8" s="1"/>
  <c r="C139" i="8" s="1"/>
  <c r="C140" i="8" s="1"/>
  <c r="C141" i="8" s="1"/>
  <c r="C142" i="8" s="1"/>
  <c r="C143" i="8" s="1"/>
  <c r="C144" i="8" s="1"/>
  <c r="C145" i="8" s="1"/>
  <c r="C146" i="8" s="1"/>
  <c r="C147" i="8" s="1"/>
  <c r="C148" i="8" s="1"/>
  <c r="C149" i="8" s="1"/>
  <c r="C150" i="8" s="1"/>
  <c r="C151" i="8" s="1"/>
  <c r="C152" i="8" s="1"/>
  <c r="C153" i="8" s="1"/>
  <c r="C154" i="8" s="1"/>
  <c r="C155" i="8" s="1"/>
  <c r="C156" i="8" s="1"/>
  <c r="C157" i="8" s="1"/>
  <c r="C158" i="8" s="1"/>
  <c r="P131" i="8"/>
  <c r="O131" i="8"/>
  <c r="N131" i="8"/>
  <c r="K131" i="8"/>
  <c r="K128" i="8" s="1"/>
  <c r="G131" i="8"/>
  <c r="F131" i="8"/>
  <c r="O130" i="8"/>
  <c r="N130" i="8"/>
  <c r="K130" i="8"/>
  <c r="G130" i="8"/>
  <c r="P130" i="8" s="1"/>
  <c r="C130" i="8"/>
  <c r="C131" i="8" s="1"/>
  <c r="O129" i="8"/>
  <c r="N129" i="8"/>
  <c r="N128" i="8" s="1"/>
  <c r="G129" i="8"/>
  <c r="R128" i="8"/>
  <c r="L128" i="8"/>
  <c r="O126" i="8"/>
  <c r="N126" i="8"/>
  <c r="K126" i="8"/>
  <c r="P126" i="8" s="1"/>
  <c r="Q126" i="8" s="1"/>
  <c r="O125" i="8"/>
  <c r="N125" i="8"/>
  <c r="K125" i="8"/>
  <c r="O124" i="8"/>
  <c r="N124" i="8"/>
  <c r="K124" i="8"/>
  <c r="P124" i="8" s="1"/>
  <c r="Q124" i="8" s="1"/>
  <c r="O123" i="8"/>
  <c r="N123" i="8"/>
  <c r="K123" i="8"/>
  <c r="P123" i="8" s="1"/>
  <c r="P122" i="8"/>
  <c r="O122" i="8"/>
  <c r="N122" i="8"/>
  <c r="K122" i="8"/>
  <c r="O121" i="8"/>
  <c r="N121" i="8"/>
  <c r="K121" i="8"/>
  <c r="P121" i="8" s="1"/>
  <c r="O120" i="8"/>
  <c r="N120" i="8"/>
  <c r="K120" i="8"/>
  <c r="P120" i="8" s="1"/>
  <c r="O119" i="8"/>
  <c r="N119" i="8"/>
  <c r="K119" i="8"/>
  <c r="P119" i="8" s="1"/>
  <c r="O118" i="8"/>
  <c r="N118" i="8"/>
  <c r="K118" i="8"/>
  <c r="P117" i="8"/>
  <c r="O117" i="8"/>
  <c r="N117" i="8"/>
  <c r="K117" i="8"/>
  <c r="O116" i="8"/>
  <c r="N116" i="8"/>
  <c r="K116" i="8"/>
  <c r="F116" i="8"/>
  <c r="G116" i="8" s="1"/>
  <c r="P116" i="8" s="1"/>
  <c r="O115" i="8"/>
  <c r="N115" i="8"/>
  <c r="K115" i="8"/>
  <c r="F115" i="8"/>
  <c r="G115" i="8" s="1"/>
  <c r="P115" i="8" s="1"/>
  <c r="O114" i="8"/>
  <c r="N114" i="8"/>
  <c r="K114" i="8"/>
  <c r="G114" i="8"/>
  <c r="P114" i="8" s="1"/>
  <c r="F114" i="8"/>
  <c r="O113" i="8"/>
  <c r="N113" i="8"/>
  <c r="K113" i="8"/>
  <c r="G113" i="8"/>
  <c r="P113" i="8" s="1"/>
  <c r="O112" i="8"/>
  <c r="N112" i="8"/>
  <c r="K112" i="8"/>
  <c r="G112" i="8"/>
  <c r="P112" i="8" s="1"/>
  <c r="O111" i="8"/>
  <c r="N111" i="8"/>
  <c r="K111" i="8"/>
  <c r="F111" i="8"/>
  <c r="G111" i="8" s="1"/>
  <c r="P111" i="8" s="1"/>
  <c r="O110" i="8"/>
  <c r="N110" i="8"/>
  <c r="K110" i="8"/>
  <c r="F110" i="8"/>
  <c r="G110" i="8" s="1"/>
  <c r="P110" i="8" s="1"/>
  <c r="O109" i="8"/>
  <c r="N109" i="8"/>
  <c r="K109" i="8"/>
  <c r="G109" i="8"/>
  <c r="P109" i="8" s="1"/>
  <c r="F109" i="8"/>
  <c r="P108" i="8"/>
  <c r="O108" i="8"/>
  <c r="N108" i="8"/>
  <c r="K108" i="8"/>
  <c r="G108" i="8"/>
  <c r="O107" i="8"/>
  <c r="N107" i="8"/>
  <c r="K107" i="8"/>
  <c r="F107" i="8"/>
  <c r="G107" i="8" s="1"/>
  <c r="P107" i="8" s="1"/>
  <c r="O106" i="8"/>
  <c r="N106" i="8"/>
  <c r="K106" i="8"/>
  <c r="F106" i="8"/>
  <c r="G106" i="8" s="1"/>
  <c r="P106" i="8" s="1"/>
  <c r="O105" i="8"/>
  <c r="N105" i="8"/>
  <c r="K105" i="8"/>
  <c r="F105" i="8"/>
  <c r="G105" i="8" s="1"/>
  <c r="P105" i="8" s="1"/>
  <c r="O104" i="8"/>
  <c r="N104" i="8"/>
  <c r="K104" i="8"/>
  <c r="G104" i="8"/>
  <c r="P104" i="8" s="1"/>
  <c r="O103" i="8"/>
  <c r="N103" i="8"/>
  <c r="K103" i="8"/>
  <c r="G103" i="8"/>
  <c r="P103" i="8" s="1"/>
  <c r="O102" i="8"/>
  <c r="N102" i="8"/>
  <c r="K102" i="8"/>
  <c r="F102" i="8"/>
  <c r="G102" i="8" s="1"/>
  <c r="P102" i="8" s="1"/>
  <c r="O101" i="8"/>
  <c r="N101" i="8"/>
  <c r="K101" i="8"/>
  <c r="F101" i="8"/>
  <c r="G101" i="8" s="1"/>
  <c r="P101" i="8" s="1"/>
  <c r="O100" i="8"/>
  <c r="N100" i="8"/>
  <c r="K100" i="8"/>
  <c r="G100" i="8"/>
  <c r="P100" i="8" s="1"/>
  <c r="P99" i="8"/>
  <c r="O99" i="8"/>
  <c r="N99" i="8"/>
  <c r="K99" i="8"/>
  <c r="G99" i="8"/>
  <c r="O98" i="8"/>
  <c r="N98" i="8"/>
  <c r="K98" i="8"/>
  <c r="G98" i="8"/>
  <c r="P98" i="8" s="1"/>
  <c r="O97" i="8"/>
  <c r="N97" i="8"/>
  <c r="P97" i="8" s="1"/>
  <c r="K97" i="8"/>
  <c r="G97" i="8"/>
  <c r="O96" i="8"/>
  <c r="N96" i="8"/>
  <c r="K96" i="8"/>
  <c r="G96" i="8"/>
  <c r="P96" i="8" s="1"/>
  <c r="O95" i="8"/>
  <c r="N95" i="8"/>
  <c r="P95" i="8" s="1"/>
  <c r="K95" i="8"/>
  <c r="G95" i="8"/>
  <c r="O94" i="8"/>
  <c r="N94" i="8"/>
  <c r="K94" i="8"/>
  <c r="G94" i="8"/>
  <c r="P94" i="8" s="1"/>
  <c r="O93" i="8"/>
  <c r="N93" i="8"/>
  <c r="P93" i="8" s="1"/>
  <c r="K93" i="8"/>
  <c r="G93" i="8"/>
  <c r="O92" i="8"/>
  <c r="N92" i="8"/>
  <c r="K92" i="8"/>
  <c r="G92" i="8"/>
  <c r="P92" i="8" s="1"/>
  <c r="O91" i="8"/>
  <c r="N91" i="8"/>
  <c r="K91" i="8"/>
  <c r="F91" i="8"/>
  <c r="G91" i="8" s="1"/>
  <c r="P91" i="8" s="1"/>
  <c r="O90" i="8"/>
  <c r="N90" i="8"/>
  <c r="K90" i="8"/>
  <c r="G90" i="8"/>
  <c r="P90" i="8" s="1"/>
  <c r="P89" i="8"/>
  <c r="O89" i="8"/>
  <c r="N89" i="8"/>
  <c r="K89" i="8"/>
  <c r="G89" i="8"/>
  <c r="F89" i="8"/>
  <c r="O88" i="8"/>
  <c r="N88" i="8"/>
  <c r="K88" i="8"/>
  <c r="F88" i="8"/>
  <c r="G88" i="8" s="1"/>
  <c r="P88" i="8" s="1"/>
  <c r="O87" i="8"/>
  <c r="N87" i="8"/>
  <c r="K87" i="8"/>
  <c r="G87" i="8"/>
  <c r="P87" i="8" s="1"/>
  <c r="O86" i="8"/>
  <c r="N86" i="8"/>
  <c r="K86" i="8"/>
  <c r="G86" i="8"/>
  <c r="P86" i="8" s="1"/>
  <c r="O85" i="8"/>
  <c r="N85" i="8"/>
  <c r="K85" i="8"/>
  <c r="F85" i="8"/>
  <c r="G85" i="8" s="1"/>
  <c r="P85" i="8" s="1"/>
  <c r="O84" i="8"/>
  <c r="N84" i="8"/>
  <c r="K84" i="8"/>
  <c r="G84" i="8"/>
  <c r="P84" i="8" s="1"/>
  <c r="N83" i="8"/>
  <c r="K83" i="8"/>
  <c r="G83" i="8"/>
  <c r="P83" i="8" s="1"/>
  <c r="N82" i="8"/>
  <c r="K82" i="8"/>
  <c r="G82" i="8"/>
  <c r="P81" i="8"/>
  <c r="N81" i="8"/>
  <c r="K81" i="8"/>
  <c r="G81" i="8"/>
  <c r="N80" i="8"/>
  <c r="K80" i="8"/>
  <c r="F80" i="8"/>
  <c r="G80" i="8" s="1"/>
  <c r="P80" i="8" s="1"/>
  <c r="P79" i="8"/>
  <c r="N79" i="8"/>
  <c r="K79" i="8"/>
  <c r="G79" i="8"/>
  <c r="O78" i="8"/>
  <c r="N78" i="8"/>
  <c r="K78" i="8"/>
  <c r="F78" i="8"/>
  <c r="G78" i="8" s="1"/>
  <c r="P78" i="8" s="1"/>
  <c r="P77" i="8"/>
  <c r="O77" i="8"/>
  <c r="N77" i="8"/>
  <c r="K77" i="8"/>
  <c r="F77" i="8"/>
  <c r="G77" i="8" s="1"/>
  <c r="O76" i="8"/>
  <c r="N76" i="8"/>
  <c r="K76" i="8"/>
  <c r="G76" i="8"/>
  <c r="P76" i="8" s="1"/>
  <c r="P75" i="8"/>
  <c r="O75" i="8"/>
  <c r="N75" i="8"/>
  <c r="K75" i="8"/>
  <c r="G75" i="8"/>
  <c r="O74" i="8"/>
  <c r="N74" i="8"/>
  <c r="K74" i="8"/>
  <c r="G74" i="8"/>
  <c r="O73" i="8"/>
  <c r="N73" i="8"/>
  <c r="K73" i="8"/>
  <c r="F73" i="8"/>
  <c r="G73" i="8" s="1"/>
  <c r="P73" i="8" s="1"/>
  <c r="O72" i="8"/>
  <c r="N72" i="8"/>
  <c r="K72" i="8"/>
  <c r="G72" i="8"/>
  <c r="O71" i="8"/>
  <c r="N71" i="8"/>
  <c r="K71" i="8"/>
  <c r="G71" i="8"/>
  <c r="P71" i="8" s="1"/>
  <c r="O70" i="8"/>
  <c r="N70" i="8"/>
  <c r="K70" i="8"/>
  <c r="G70" i="8"/>
  <c r="P70" i="8" s="1"/>
  <c r="O69" i="8"/>
  <c r="N69" i="8"/>
  <c r="K69" i="8"/>
  <c r="G69" i="8"/>
  <c r="P69" i="8" s="1"/>
  <c r="O68" i="8"/>
  <c r="N68" i="8"/>
  <c r="K68" i="8"/>
  <c r="G68" i="8"/>
  <c r="P68" i="8" s="1"/>
  <c r="O67" i="8"/>
  <c r="N67" i="8"/>
  <c r="K67" i="8"/>
  <c r="G67" i="8"/>
  <c r="P67" i="8" s="1"/>
  <c r="O66" i="8"/>
  <c r="N66" i="8"/>
  <c r="K66" i="8"/>
  <c r="G66" i="8"/>
  <c r="O65" i="8"/>
  <c r="N65" i="8"/>
  <c r="K65" i="8"/>
  <c r="G65" i="8"/>
  <c r="P65" i="8" s="1"/>
  <c r="O64" i="8"/>
  <c r="N64" i="8"/>
  <c r="K64" i="8"/>
  <c r="G64" i="8"/>
  <c r="O63" i="8"/>
  <c r="N63" i="8"/>
  <c r="K63" i="8"/>
  <c r="G63" i="8"/>
  <c r="P63" i="8" s="1"/>
  <c r="O62" i="8"/>
  <c r="N62" i="8"/>
  <c r="K62" i="8"/>
  <c r="G62" i="8"/>
  <c r="P62" i="8" s="1"/>
  <c r="O61" i="8"/>
  <c r="N61" i="8"/>
  <c r="K61" i="8"/>
  <c r="G61" i="8"/>
  <c r="P61" i="8" s="1"/>
  <c r="O60" i="8"/>
  <c r="N60" i="8"/>
  <c r="K60" i="8"/>
  <c r="G60" i="8"/>
  <c r="P60" i="8" s="1"/>
  <c r="O59" i="8"/>
  <c r="N59" i="8"/>
  <c r="K59" i="8"/>
  <c r="F59" i="8"/>
  <c r="G59" i="8" s="1"/>
  <c r="P59" i="8" s="1"/>
  <c r="O58" i="8"/>
  <c r="N58" i="8"/>
  <c r="K58" i="8"/>
  <c r="G58" i="8"/>
  <c r="P58" i="8" s="1"/>
  <c r="O57" i="8"/>
  <c r="N57" i="8"/>
  <c r="K57" i="8"/>
  <c r="F57" i="8"/>
  <c r="G57" i="8" s="1"/>
  <c r="P57" i="8" s="1"/>
  <c r="P56" i="8"/>
  <c r="O56" i="8"/>
  <c r="N56" i="8"/>
  <c r="K56" i="8"/>
  <c r="G56" i="8"/>
  <c r="O55" i="8"/>
  <c r="N55" i="8"/>
  <c r="K55" i="8"/>
  <c r="G55" i="8"/>
  <c r="P55" i="8" s="1"/>
  <c r="O54" i="8"/>
  <c r="N54" i="8"/>
  <c r="P54" i="8" s="1"/>
  <c r="K54" i="8"/>
  <c r="F54" i="8"/>
  <c r="G54" i="8" s="1"/>
  <c r="O53" i="8"/>
  <c r="N53" i="8"/>
  <c r="K53" i="8"/>
  <c r="F53" i="8"/>
  <c r="G53" i="8" s="1"/>
  <c r="P53" i="8" s="1"/>
  <c r="P52" i="8"/>
  <c r="O52" i="8"/>
  <c r="N52" i="8"/>
  <c r="K52" i="8"/>
  <c r="F52" i="8"/>
  <c r="G52" i="8" s="1"/>
  <c r="O51" i="8"/>
  <c r="N51" i="8"/>
  <c r="K51" i="8"/>
  <c r="G51" i="8"/>
  <c r="P50" i="8"/>
  <c r="O50" i="8"/>
  <c r="N50" i="8"/>
  <c r="K50" i="8"/>
  <c r="G50" i="8"/>
  <c r="O49" i="8"/>
  <c r="N49" i="8"/>
  <c r="K49" i="8"/>
  <c r="G49" i="8"/>
  <c r="P49" i="8" s="1"/>
  <c r="P48" i="8"/>
  <c r="O48" i="8"/>
  <c r="N48" i="8"/>
  <c r="K48" i="8"/>
  <c r="G48" i="8"/>
  <c r="O47" i="8"/>
  <c r="N47" i="8"/>
  <c r="K47" i="8"/>
  <c r="G47" i="8"/>
  <c r="P46" i="8"/>
  <c r="O46" i="8"/>
  <c r="N46" i="8"/>
  <c r="K46" i="8"/>
  <c r="G46" i="8"/>
  <c r="O45" i="8"/>
  <c r="N45" i="8"/>
  <c r="K45" i="8"/>
  <c r="K14" i="8" s="1"/>
  <c r="G45" i="8"/>
  <c r="P45" i="8" s="1"/>
  <c r="P44" i="8"/>
  <c r="O44" i="8"/>
  <c r="N44" i="8"/>
  <c r="K44" i="8"/>
  <c r="G44" i="8"/>
  <c r="O43" i="8"/>
  <c r="N43" i="8"/>
  <c r="K43" i="8"/>
  <c r="G43" i="8"/>
  <c r="P43" i="8" s="1"/>
  <c r="P42" i="8"/>
  <c r="O42" i="8"/>
  <c r="N42" i="8"/>
  <c r="K42" i="8"/>
  <c r="F42" i="8"/>
  <c r="G42" i="8" s="1"/>
  <c r="O41" i="8"/>
  <c r="N41" i="8"/>
  <c r="K41" i="8"/>
  <c r="G41" i="8"/>
  <c r="P41" i="8" s="1"/>
  <c r="O40" i="8"/>
  <c r="N40" i="8"/>
  <c r="F40" i="8"/>
  <c r="G40" i="8" s="1"/>
  <c r="P40" i="8" s="1"/>
  <c r="O39" i="8"/>
  <c r="N39" i="8"/>
  <c r="K39" i="8"/>
  <c r="G39" i="8"/>
  <c r="P39" i="8" s="1"/>
  <c r="F39" i="8"/>
  <c r="O38" i="8"/>
  <c r="N38" i="8"/>
  <c r="K38" i="8"/>
  <c r="F38" i="8"/>
  <c r="G38" i="8" s="1"/>
  <c r="P38" i="8" s="1"/>
  <c r="O37" i="8"/>
  <c r="N37" i="8"/>
  <c r="P37" i="8" s="1"/>
  <c r="K37" i="8"/>
  <c r="G37" i="8"/>
  <c r="O36" i="8"/>
  <c r="N36" i="8"/>
  <c r="K36" i="8"/>
  <c r="F36" i="8"/>
  <c r="G36" i="8" s="1"/>
  <c r="P36" i="8" s="1"/>
  <c r="O35" i="8"/>
  <c r="N35" i="8"/>
  <c r="P35" i="8" s="1"/>
  <c r="K35" i="8"/>
  <c r="G35" i="8"/>
  <c r="O34" i="8"/>
  <c r="N34" i="8"/>
  <c r="K34" i="8"/>
  <c r="G34" i="8"/>
  <c r="P34" i="8" s="1"/>
  <c r="O33" i="8"/>
  <c r="N33" i="8"/>
  <c r="P33" i="8" s="1"/>
  <c r="K33" i="8"/>
  <c r="G33" i="8"/>
  <c r="O32" i="8"/>
  <c r="N32" i="8"/>
  <c r="K32" i="8"/>
  <c r="G32" i="8"/>
  <c r="P32" i="8" s="1"/>
  <c r="O31" i="8"/>
  <c r="N31" i="8"/>
  <c r="P31" i="8" s="1"/>
  <c r="K31" i="8"/>
  <c r="G31" i="8"/>
  <c r="O30" i="8"/>
  <c r="N30" i="8"/>
  <c r="K30" i="8"/>
  <c r="G30" i="8"/>
  <c r="P30" i="8" s="1"/>
  <c r="P29" i="8"/>
  <c r="O29" i="8"/>
  <c r="N29" i="8"/>
  <c r="K29" i="8"/>
  <c r="G29" i="8"/>
  <c r="O28" i="8"/>
  <c r="N28" i="8"/>
  <c r="K28" i="8"/>
  <c r="G28" i="8"/>
  <c r="P28" i="8" s="1"/>
  <c r="P27" i="8"/>
  <c r="O27" i="8"/>
  <c r="N27" i="8"/>
  <c r="K27" i="8"/>
  <c r="G27" i="8"/>
  <c r="O26" i="8"/>
  <c r="N26" i="8"/>
  <c r="K26" i="8"/>
  <c r="G26" i="8"/>
  <c r="P26" i="8" s="1"/>
  <c r="O25" i="8"/>
  <c r="N25" i="8"/>
  <c r="P25" i="8" s="1"/>
  <c r="K25" i="8"/>
  <c r="G25" i="8"/>
  <c r="O24" i="8"/>
  <c r="N24" i="8"/>
  <c r="K24" i="8"/>
  <c r="G24" i="8"/>
  <c r="P24" i="8" s="1"/>
  <c r="O23" i="8"/>
  <c r="N23" i="8"/>
  <c r="P23" i="8" s="1"/>
  <c r="K23" i="8"/>
  <c r="G23" i="8"/>
  <c r="O22" i="8"/>
  <c r="N22" i="8"/>
  <c r="K22" i="8"/>
  <c r="G22" i="8"/>
  <c r="P22" i="8" s="1"/>
  <c r="O21" i="8"/>
  <c r="N21" i="8"/>
  <c r="N14" i="8" s="1"/>
  <c r="K21" i="8"/>
  <c r="G21" i="8"/>
  <c r="O20" i="8"/>
  <c r="N20" i="8"/>
  <c r="K20" i="8"/>
  <c r="G20" i="8"/>
  <c r="P20" i="8" s="1"/>
  <c r="O19" i="8"/>
  <c r="N19" i="8"/>
  <c r="P19" i="8" s="1"/>
  <c r="K19" i="8"/>
  <c r="G19" i="8"/>
  <c r="O18" i="8"/>
  <c r="N18" i="8"/>
  <c r="K18" i="8"/>
  <c r="G18" i="8"/>
  <c r="P18" i="8" s="1"/>
  <c r="P17" i="8"/>
  <c r="O17" i="8"/>
  <c r="N17" i="8"/>
  <c r="K17" i="8"/>
  <c r="G17" i="8"/>
  <c r="O16" i="8"/>
  <c r="N16" i="8"/>
  <c r="K16" i="8"/>
  <c r="G16" i="8"/>
  <c r="P16" i="8" s="1"/>
  <c r="C16" i="8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C43" i="8" s="1"/>
  <c r="C44" i="8" s="1"/>
  <c r="C45" i="8" s="1"/>
  <c r="C46" i="8" s="1"/>
  <c r="C47" i="8" s="1"/>
  <c r="C48" i="8" s="1"/>
  <c r="C49" i="8" s="1"/>
  <c r="C50" i="8" s="1"/>
  <c r="C51" i="8" s="1"/>
  <c r="C52" i="8" s="1"/>
  <c r="C53" i="8" s="1"/>
  <c r="C54" i="8" s="1"/>
  <c r="C55" i="8" s="1"/>
  <c r="C56" i="8" s="1"/>
  <c r="C57" i="8" s="1"/>
  <c r="C58" i="8" s="1"/>
  <c r="C59" i="8" s="1"/>
  <c r="C60" i="8" s="1"/>
  <c r="C61" i="8" s="1"/>
  <c r="C62" i="8" s="1"/>
  <c r="C63" i="8" s="1"/>
  <c r="C64" i="8" s="1"/>
  <c r="C65" i="8" s="1"/>
  <c r="C66" i="8" s="1"/>
  <c r="C67" i="8" s="1"/>
  <c r="C68" i="8" s="1"/>
  <c r="C69" i="8" s="1"/>
  <c r="C70" i="8" s="1"/>
  <c r="C71" i="8" s="1"/>
  <c r="C72" i="8" s="1"/>
  <c r="C73" i="8" s="1"/>
  <c r="C74" i="8" s="1"/>
  <c r="C75" i="8" s="1"/>
  <c r="C76" i="8" s="1"/>
  <c r="C77" i="8" s="1"/>
  <c r="C78" i="8" s="1"/>
  <c r="C79" i="8" s="1"/>
  <c r="C80" i="8" s="1"/>
  <c r="C81" i="8" s="1"/>
  <c r="C82" i="8" s="1"/>
  <c r="C83" i="8" s="1"/>
  <c r="C84" i="8" s="1"/>
  <c r="C85" i="8" s="1"/>
  <c r="C86" i="8" s="1"/>
  <c r="C87" i="8" s="1"/>
  <c r="C88" i="8" s="1"/>
  <c r="C89" i="8" s="1"/>
  <c r="C90" i="8" s="1"/>
  <c r="C91" i="8" s="1"/>
  <c r="C92" i="8" s="1"/>
  <c r="C93" i="8" s="1"/>
  <c r="C94" i="8" s="1"/>
  <c r="C95" i="8" s="1"/>
  <c r="C96" i="8" s="1"/>
  <c r="C97" i="8" s="1"/>
  <c r="C98" i="8" s="1"/>
  <c r="C99" i="8" s="1"/>
  <c r="C100" i="8" s="1"/>
  <c r="C101" i="8" s="1"/>
  <c r="C102" i="8" s="1"/>
  <c r="C103" i="8" s="1"/>
  <c r="C104" i="8" s="1"/>
  <c r="C105" i="8" s="1"/>
  <c r="C106" i="8" s="1"/>
  <c r="C107" i="8" s="1"/>
  <c r="C108" i="8" s="1"/>
  <c r="C109" i="8" s="1"/>
  <c r="C110" i="8" s="1"/>
  <c r="C111" i="8" s="1"/>
  <c r="C112" i="8" s="1"/>
  <c r="C113" i="8" s="1"/>
  <c r="C114" i="8" s="1"/>
  <c r="C115" i="8" s="1"/>
  <c r="C116" i="8" s="1"/>
  <c r="C117" i="8" s="1"/>
  <c r="C118" i="8" s="1"/>
  <c r="C119" i="8" s="1"/>
  <c r="C120" i="8" s="1"/>
  <c r="C121" i="8" s="1"/>
  <c r="C122" i="8" s="1"/>
  <c r="C123" i="8" s="1"/>
  <c r="C124" i="8" s="1"/>
  <c r="C125" i="8" s="1"/>
  <c r="C126" i="8" s="1"/>
  <c r="P15" i="8"/>
  <c r="O15" i="8"/>
  <c r="N15" i="8"/>
  <c r="K15" i="8"/>
  <c r="G15" i="8"/>
  <c r="S14" i="8"/>
  <c r="R14" i="8"/>
  <c r="L14" i="8"/>
  <c r="I14" i="8"/>
  <c r="R494" i="1"/>
  <c r="R495" i="1"/>
  <c r="R489" i="1"/>
  <c r="R478" i="1"/>
  <c r="R479" i="1"/>
  <c r="R480" i="1"/>
  <c r="R477" i="1"/>
  <c r="R459" i="1"/>
  <c r="R460" i="1"/>
  <c r="R461" i="1"/>
  <c r="R462" i="1"/>
  <c r="R458" i="1"/>
  <c r="R453" i="1"/>
  <c r="R452" i="1"/>
  <c r="R445" i="1"/>
  <c r="R446" i="1"/>
  <c r="R444" i="1"/>
  <c r="R434" i="1"/>
  <c r="R435" i="1"/>
  <c r="R436" i="1"/>
  <c r="R437" i="1"/>
  <c r="R438" i="1"/>
  <c r="R439" i="1"/>
  <c r="R433" i="1"/>
  <c r="R426" i="1"/>
  <c r="R427" i="1"/>
  <c r="R428" i="1"/>
  <c r="R425" i="1"/>
  <c r="R411" i="1"/>
  <c r="R412" i="1"/>
  <c r="R413" i="1"/>
  <c r="R414" i="1"/>
  <c r="R415" i="1"/>
  <c r="R416" i="1"/>
  <c r="R417" i="1"/>
  <c r="R410" i="1"/>
  <c r="R402" i="1"/>
  <c r="R403" i="1"/>
  <c r="R404" i="1"/>
  <c r="R405" i="1"/>
  <c r="R401" i="1"/>
  <c r="R394" i="1"/>
  <c r="R379" i="1"/>
  <c r="R380" i="1"/>
  <c r="R381" i="1"/>
  <c r="R382" i="1"/>
  <c r="R383" i="1"/>
  <c r="R384" i="1"/>
  <c r="R385" i="1"/>
  <c r="R386" i="1"/>
  <c r="R378" i="1"/>
  <c r="R366" i="1"/>
  <c r="R367" i="1"/>
  <c r="R368" i="1"/>
  <c r="R369" i="1"/>
  <c r="R370" i="1"/>
  <c r="R371" i="1"/>
  <c r="R365" i="1"/>
  <c r="R357" i="1"/>
  <c r="R358" i="1"/>
  <c r="R359" i="1"/>
  <c r="R356" i="1"/>
  <c r="R345" i="1"/>
  <c r="R346" i="1"/>
  <c r="R347" i="1"/>
  <c r="R344" i="1"/>
  <c r="R323" i="1"/>
  <c r="R324" i="1"/>
  <c r="R325" i="1"/>
  <c r="R322" i="1"/>
  <c r="R293" i="1"/>
  <c r="R294" i="1"/>
  <c r="R295" i="1"/>
  <c r="R292" i="1"/>
  <c r="R248" i="1"/>
  <c r="R249" i="1"/>
  <c r="R250" i="1"/>
  <c r="R247" i="1"/>
  <c r="T143" i="1"/>
  <c r="T144" i="1"/>
  <c r="T145" i="1"/>
  <c r="T146" i="1"/>
  <c r="T147" i="1"/>
  <c r="T148" i="1"/>
  <c r="T142" i="1"/>
  <c r="R134" i="1"/>
  <c r="R124" i="1"/>
  <c r="R115" i="1"/>
  <c r="R101" i="1"/>
  <c r="R90" i="1"/>
  <c r="T60" i="1"/>
  <c r="T61" i="1"/>
  <c r="T62" i="1"/>
  <c r="T59" i="1"/>
  <c r="T914" i="5"/>
  <c r="T913" i="5" s="1"/>
  <c r="T912" i="5" s="1"/>
  <c r="T911" i="5" s="1"/>
  <c r="T910" i="5" s="1"/>
  <c r="S914" i="5"/>
  <c r="S913" i="5" s="1"/>
  <c r="S912" i="5" s="1"/>
  <c r="S911" i="5" s="1"/>
  <c r="S910" i="5" s="1"/>
  <c r="Q914" i="5"/>
  <c r="Q913" i="5" s="1"/>
  <c r="Q912" i="5" s="1"/>
  <c r="Q911" i="5" s="1"/>
  <c r="Q910" i="5" s="1"/>
  <c r="N914" i="5"/>
  <c r="M914" i="5"/>
  <c r="M913" i="5" s="1"/>
  <c r="M912" i="5" s="1"/>
  <c r="M911" i="5" s="1"/>
  <c r="M910" i="5" s="1"/>
  <c r="V913" i="5"/>
  <c r="V912" i="5" s="1"/>
  <c r="V911" i="5" s="1"/>
  <c r="V910" i="5" s="1"/>
  <c r="R913" i="5"/>
  <c r="R912" i="5"/>
  <c r="R911" i="5"/>
  <c r="T909" i="5"/>
  <c r="T908" i="5" s="1"/>
  <c r="T907" i="5" s="1"/>
  <c r="T906" i="5" s="1"/>
  <c r="T905" i="5" s="1"/>
  <c r="S909" i="5"/>
  <c r="S908" i="5" s="1"/>
  <c r="S907" i="5" s="1"/>
  <c r="S906" i="5" s="1"/>
  <c r="S905" i="5" s="1"/>
  <c r="Q909" i="5"/>
  <c r="M909" i="5"/>
  <c r="M908" i="5" s="1"/>
  <c r="M907" i="5" s="1"/>
  <c r="M906" i="5" s="1"/>
  <c r="M905" i="5" s="1"/>
  <c r="V908" i="5"/>
  <c r="V907" i="5" s="1"/>
  <c r="V906" i="5" s="1"/>
  <c r="V905" i="5" s="1"/>
  <c r="R908" i="5"/>
  <c r="R907" i="5"/>
  <c r="R906" i="5"/>
  <c r="T903" i="5"/>
  <c r="T901" i="5" s="1"/>
  <c r="S903" i="5"/>
  <c r="S901" i="5" s="1"/>
  <c r="Q903" i="5"/>
  <c r="U903" i="5" s="1"/>
  <c r="U901" i="5" s="1"/>
  <c r="M903" i="5"/>
  <c r="M901" i="5" s="1"/>
  <c r="V901" i="5"/>
  <c r="T900" i="5"/>
  <c r="S900" i="5"/>
  <c r="Q900" i="5"/>
  <c r="M900" i="5"/>
  <c r="T899" i="5"/>
  <c r="S899" i="5"/>
  <c r="R899" i="5"/>
  <c r="Q899" i="5"/>
  <c r="U899" i="5" s="1"/>
  <c r="T898" i="5"/>
  <c r="S898" i="5"/>
  <c r="Q898" i="5"/>
  <c r="U898" i="5" s="1"/>
  <c r="M898" i="5"/>
  <c r="T897" i="5"/>
  <c r="S897" i="5"/>
  <c r="Q897" i="5"/>
  <c r="U897" i="5" s="1"/>
  <c r="M897" i="5"/>
  <c r="T895" i="5"/>
  <c r="S895" i="5"/>
  <c r="Q895" i="5"/>
  <c r="U895" i="5" s="1"/>
  <c r="M895" i="5"/>
  <c r="V894" i="5"/>
  <c r="T890" i="5"/>
  <c r="T888" i="5" s="1"/>
  <c r="S890" i="5"/>
  <c r="S888" i="5" s="1"/>
  <c r="Q890" i="5"/>
  <c r="Q888" i="5" s="1"/>
  <c r="M890" i="5"/>
  <c r="M888" i="5" s="1"/>
  <c r="V888" i="5"/>
  <c r="T887" i="5"/>
  <c r="S887" i="5"/>
  <c r="Q887" i="5"/>
  <c r="U887" i="5" s="1"/>
  <c r="M887" i="5"/>
  <c r="T885" i="5"/>
  <c r="S885" i="5"/>
  <c r="Q885" i="5"/>
  <c r="U885" i="5" s="1"/>
  <c r="M885" i="5"/>
  <c r="T883" i="5"/>
  <c r="S883" i="5"/>
  <c r="Q883" i="5"/>
  <c r="M883" i="5"/>
  <c r="T882" i="5"/>
  <c r="S882" i="5"/>
  <c r="N882" i="5"/>
  <c r="Q882" i="5" s="1"/>
  <c r="M882" i="5"/>
  <c r="T881" i="5"/>
  <c r="S881" i="5"/>
  <c r="Q881" i="5"/>
  <c r="M881" i="5"/>
  <c r="T880" i="5"/>
  <c r="S880" i="5"/>
  <c r="Q880" i="5"/>
  <c r="M880" i="5"/>
  <c r="V879" i="5"/>
  <c r="T875" i="5"/>
  <c r="S875" i="5"/>
  <c r="Q875" i="5"/>
  <c r="M875" i="5"/>
  <c r="T874" i="5"/>
  <c r="S874" i="5"/>
  <c r="Q874" i="5"/>
  <c r="U874" i="5" s="1"/>
  <c r="M874" i="5"/>
  <c r="T873" i="5"/>
  <c r="S873" i="5"/>
  <c r="N873" i="5"/>
  <c r="Q873" i="5" s="1"/>
  <c r="M873" i="5"/>
  <c r="T871" i="5"/>
  <c r="S871" i="5"/>
  <c r="Q871" i="5"/>
  <c r="U871" i="5" s="1"/>
  <c r="M871" i="5"/>
  <c r="T870" i="5"/>
  <c r="S870" i="5"/>
  <c r="Q870" i="5"/>
  <c r="U870" i="5" s="1"/>
  <c r="M870" i="5"/>
  <c r="T866" i="5"/>
  <c r="S866" i="5"/>
  <c r="Q866" i="5"/>
  <c r="U866" i="5" s="1"/>
  <c r="M866" i="5"/>
  <c r="T865" i="5"/>
  <c r="S865" i="5"/>
  <c r="Q865" i="5"/>
  <c r="U865" i="5" s="1"/>
  <c r="M865" i="5"/>
  <c r="T864" i="5"/>
  <c r="S864" i="5"/>
  <c r="Q864" i="5"/>
  <c r="M864" i="5"/>
  <c r="V862" i="5"/>
  <c r="T861" i="5"/>
  <c r="T859" i="5" s="1"/>
  <c r="T858" i="5" s="1"/>
  <c r="S861" i="5"/>
  <c r="S859" i="5" s="1"/>
  <c r="S858" i="5" s="1"/>
  <c r="Q861" i="5"/>
  <c r="U861" i="5" s="1"/>
  <c r="U859" i="5" s="1"/>
  <c r="U858" i="5" s="1"/>
  <c r="M861" i="5"/>
  <c r="V859" i="5"/>
  <c r="V858" i="5" s="1"/>
  <c r="T857" i="5"/>
  <c r="S857" i="5"/>
  <c r="Q857" i="5"/>
  <c r="M857" i="5"/>
  <c r="T856" i="5"/>
  <c r="S856" i="5"/>
  <c r="Q856" i="5"/>
  <c r="M856" i="5"/>
  <c r="T854" i="5"/>
  <c r="S854" i="5"/>
  <c r="Q854" i="5"/>
  <c r="U854" i="5" s="1"/>
  <c r="M854" i="5"/>
  <c r="T853" i="5"/>
  <c r="S853" i="5"/>
  <c r="Q853" i="5"/>
  <c r="U853" i="5" s="1"/>
  <c r="M853" i="5"/>
  <c r="T852" i="5"/>
  <c r="S852" i="5"/>
  <c r="Q852" i="5"/>
  <c r="U852" i="5" s="1"/>
  <c r="M852" i="5"/>
  <c r="T851" i="5"/>
  <c r="S851" i="5"/>
  <c r="Q851" i="5"/>
  <c r="M851" i="5"/>
  <c r="T849" i="5"/>
  <c r="S849" i="5"/>
  <c r="Q849" i="5"/>
  <c r="M849" i="5"/>
  <c r="T848" i="5"/>
  <c r="S848" i="5"/>
  <c r="Q848" i="5"/>
  <c r="U848" i="5" s="1"/>
  <c r="M848" i="5"/>
  <c r="V847" i="5"/>
  <c r="R847" i="5"/>
  <c r="R846" i="5"/>
  <c r="T844" i="5"/>
  <c r="S844" i="5"/>
  <c r="P844" i="5"/>
  <c r="Q844" i="5" s="1"/>
  <c r="Q843" i="5" s="1"/>
  <c r="M844" i="5"/>
  <c r="M842" i="5" s="1"/>
  <c r="V843" i="5"/>
  <c r="R843" i="5"/>
  <c r="V842" i="5"/>
  <c r="R842" i="5"/>
  <c r="T841" i="5"/>
  <c r="S841" i="5"/>
  <c r="Q841" i="5"/>
  <c r="U841" i="5" s="1"/>
  <c r="M841" i="5"/>
  <c r="T840" i="5"/>
  <c r="S840" i="5"/>
  <c r="Q840" i="5"/>
  <c r="U840" i="5" s="1"/>
  <c r="M840" i="5"/>
  <c r="T839" i="5"/>
  <c r="S839" i="5"/>
  <c r="Q839" i="5"/>
  <c r="M839" i="5"/>
  <c r="T838" i="5"/>
  <c r="S838" i="5"/>
  <c r="Q838" i="5"/>
  <c r="U838" i="5" s="1"/>
  <c r="M838" i="5"/>
  <c r="T837" i="5"/>
  <c r="S837" i="5"/>
  <c r="Q837" i="5"/>
  <c r="U837" i="5" s="1"/>
  <c r="M837" i="5"/>
  <c r="T836" i="5"/>
  <c r="S836" i="5"/>
  <c r="Q836" i="5"/>
  <c r="U836" i="5" s="1"/>
  <c r="M836" i="5"/>
  <c r="T835" i="5"/>
  <c r="S835" i="5"/>
  <c r="Q835" i="5"/>
  <c r="M835" i="5"/>
  <c r="T834" i="5"/>
  <c r="S834" i="5"/>
  <c r="Q834" i="5"/>
  <c r="U834" i="5" s="1"/>
  <c r="M834" i="5"/>
  <c r="T833" i="5"/>
  <c r="S833" i="5"/>
  <c r="Q833" i="5"/>
  <c r="U833" i="5" s="1"/>
  <c r="M833" i="5"/>
  <c r="T832" i="5"/>
  <c r="S832" i="5"/>
  <c r="Q832" i="5"/>
  <c r="U832" i="5" s="1"/>
  <c r="M832" i="5"/>
  <c r="T831" i="5"/>
  <c r="S831" i="5"/>
  <c r="Q831" i="5"/>
  <c r="U831" i="5" s="1"/>
  <c r="M831" i="5"/>
  <c r="T830" i="5"/>
  <c r="S830" i="5"/>
  <c r="Q830" i="5"/>
  <c r="U830" i="5" s="1"/>
  <c r="M830" i="5"/>
  <c r="T829" i="5"/>
  <c r="S829" i="5"/>
  <c r="Q829" i="5"/>
  <c r="U829" i="5" s="1"/>
  <c r="M829" i="5"/>
  <c r="T828" i="5"/>
  <c r="S828" i="5"/>
  <c r="Q828" i="5"/>
  <c r="U828" i="5" s="1"/>
  <c r="M828" i="5"/>
  <c r="T827" i="5"/>
  <c r="S827" i="5"/>
  <c r="Q827" i="5"/>
  <c r="U827" i="5" s="1"/>
  <c r="M827" i="5"/>
  <c r="T826" i="5"/>
  <c r="S826" i="5"/>
  <c r="Q826" i="5"/>
  <c r="U826" i="5" s="1"/>
  <c r="M826" i="5"/>
  <c r="T825" i="5"/>
  <c r="S825" i="5"/>
  <c r="Q825" i="5"/>
  <c r="M825" i="5"/>
  <c r="T824" i="5"/>
  <c r="S824" i="5"/>
  <c r="Q824" i="5"/>
  <c r="U824" i="5" s="1"/>
  <c r="M824" i="5"/>
  <c r="T823" i="5"/>
  <c r="S823" i="5"/>
  <c r="Q823" i="5"/>
  <c r="M823" i="5"/>
  <c r="V822" i="5"/>
  <c r="V821" i="5" s="1"/>
  <c r="R822" i="5"/>
  <c r="R821" i="5"/>
  <c r="T820" i="5"/>
  <c r="S820" i="5"/>
  <c r="Q820" i="5"/>
  <c r="U820" i="5" s="1"/>
  <c r="M820" i="5"/>
  <c r="M818" i="5" s="1"/>
  <c r="T819" i="5"/>
  <c r="S819" i="5"/>
  <c r="R819" i="5"/>
  <c r="Q819" i="5"/>
  <c r="U819" i="5" s="1"/>
  <c r="T818" i="5"/>
  <c r="S818" i="5"/>
  <c r="R818" i="5"/>
  <c r="Q818" i="5"/>
  <c r="U818" i="5" s="1"/>
  <c r="T817" i="5"/>
  <c r="S817" i="5"/>
  <c r="Q817" i="5"/>
  <c r="M817" i="5"/>
  <c r="M815" i="5" s="1"/>
  <c r="T816" i="5"/>
  <c r="S816" i="5"/>
  <c r="R816" i="5"/>
  <c r="Q816" i="5"/>
  <c r="U816" i="5" s="1"/>
  <c r="T815" i="5"/>
  <c r="S815" i="5"/>
  <c r="R815" i="5"/>
  <c r="T814" i="5"/>
  <c r="S814" i="5"/>
  <c r="Q814" i="5"/>
  <c r="U814" i="5" s="1"/>
  <c r="M814" i="5"/>
  <c r="T813" i="5"/>
  <c r="S813" i="5"/>
  <c r="Q813" i="5"/>
  <c r="U813" i="5" s="1"/>
  <c r="M813" i="5"/>
  <c r="T812" i="5"/>
  <c r="S812" i="5"/>
  <c r="Q812" i="5"/>
  <c r="M812" i="5"/>
  <c r="T811" i="5"/>
  <c r="S811" i="5"/>
  <c r="R811" i="5"/>
  <c r="Q811" i="5"/>
  <c r="T810" i="5"/>
  <c r="S810" i="5"/>
  <c r="Q810" i="5"/>
  <c r="M810" i="5"/>
  <c r="T809" i="5"/>
  <c r="S809" i="5"/>
  <c r="Q809" i="5"/>
  <c r="U809" i="5" s="1"/>
  <c r="M809" i="5"/>
  <c r="V808" i="5"/>
  <c r="R808" i="5"/>
  <c r="R807" i="5"/>
  <c r="T804" i="5"/>
  <c r="S804" i="5"/>
  <c r="Q804" i="5"/>
  <c r="U804" i="5" s="1"/>
  <c r="M804" i="5"/>
  <c r="T803" i="5"/>
  <c r="S803" i="5"/>
  <c r="Q803" i="5"/>
  <c r="U803" i="5" s="1"/>
  <c r="M803" i="5"/>
  <c r="V801" i="5"/>
  <c r="T800" i="5"/>
  <c r="S800" i="5"/>
  <c r="Q800" i="5"/>
  <c r="U800" i="5" s="1"/>
  <c r="M800" i="5"/>
  <c r="T799" i="5"/>
  <c r="S799" i="5"/>
  <c r="Q799" i="5"/>
  <c r="M799" i="5"/>
  <c r="T797" i="5"/>
  <c r="S797" i="5"/>
  <c r="Q797" i="5"/>
  <c r="M797" i="5"/>
  <c r="T796" i="5"/>
  <c r="S796" i="5"/>
  <c r="Q796" i="5"/>
  <c r="M796" i="5"/>
  <c r="V794" i="5"/>
  <c r="T793" i="5"/>
  <c r="S793" i="5"/>
  <c r="Q793" i="5"/>
  <c r="M793" i="5"/>
  <c r="T792" i="5"/>
  <c r="S792" i="5"/>
  <c r="Q792" i="5"/>
  <c r="U792" i="5" s="1"/>
  <c r="M792" i="5"/>
  <c r="T791" i="5"/>
  <c r="S791" i="5"/>
  <c r="Q791" i="5"/>
  <c r="M791" i="5"/>
  <c r="T790" i="5"/>
  <c r="S790" i="5"/>
  <c r="Q790" i="5"/>
  <c r="M790" i="5"/>
  <c r="T789" i="5"/>
  <c r="S789" i="5"/>
  <c r="Q789" i="5"/>
  <c r="U789" i="5" s="1"/>
  <c r="M789" i="5"/>
  <c r="T787" i="5"/>
  <c r="S787" i="5"/>
  <c r="Q787" i="5"/>
  <c r="U787" i="5" s="1"/>
  <c r="M787" i="5"/>
  <c r="T786" i="5"/>
  <c r="S786" i="5"/>
  <c r="Q786" i="5"/>
  <c r="M786" i="5"/>
  <c r="T784" i="5"/>
  <c r="S784" i="5"/>
  <c r="Q784" i="5"/>
  <c r="U784" i="5" s="1"/>
  <c r="M784" i="5"/>
  <c r="T783" i="5"/>
  <c r="S783" i="5"/>
  <c r="Q783" i="5"/>
  <c r="U783" i="5" s="1"/>
  <c r="M783" i="5"/>
  <c r="T781" i="5"/>
  <c r="S781" i="5"/>
  <c r="Q781" i="5"/>
  <c r="M781" i="5"/>
  <c r="T780" i="5"/>
  <c r="S780" i="5"/>
  <c r="Q780" i="5"/>
  <c r="M780" i="5"/>
  <c r="V778" i="5"/>
  <c r="T773" i="5"/>
  <c r="T772" i="5" s="1"/>
  <c r="S773" i="5"/>
  <c r="S772" i="5" s="1"/>
  <c r="Q773" i="5"/>
  <c r="M773" i="5"/>
  <c r="M772" i="5" s="1"/>
  <c r="V772" i="5"/>
  <c r="R772" i="5"/>
  <c r="T771" i="5"/>
  <c r="S771" i="5"/>
  <c r="Q771" i="5"/>
  <c r="U771" i="5" s="1"/>
  <c r="M771" i="5"/>
  <c r="T770" i="5"/>
  <c r="S770" i="5"/>
  <c r="Q770" i="5"/>
  <c r="U770" i="5" s="1"/>
  <c r="M770" i="5"/>
  <c r="T769" i="5"/>
  <c r="S769" i="5"/>
  <c r="Q769" i="5"/>
  <c r="U769" i="5" s="1"/>
  <c r="M769" i="5"/>
  <c r="V768" i="5"/>
  <c r="R768" i="5"/>
  <c r="R767" i="5"/>
  <c r="T765" i="5"/>
  <c r="S765" i="5"/>
  <c r="Q765" i="5"/>
  <c r="U765" i="5" s="1"/>
  <c r="M765" i="5"/>
  <c r="T764" i="5"/>
  <c r="T763" i="5" s="1"/>
  <c r="S764" i="5"/>
  <c r="S763" i="5" s="1"/>
  <c r="Q764" i="5"/>
  <c r="M764" i="5"/>
  <c r="V763" i="5"/>
  <c r="V760" i="5" s="1"/>
  <c r="V759" i="5" s="1"/>
  <c r="V758" i="5" s="1"/>
  <c r="R763" i="5"/>
  <c r="T762" i="5"/>
  <c r="S762" i="5"/>
  <c r="Q762" i="5"/>
  <c r="M762" i="5"/>
  <c r="T761" i="5"/>
  <c r="S761" i="5"/>
  <c r="Q761" i="5"/>
  <c r="M761" i="5"/>
  <c r="R760" i="5"/>
  <c r="R759" i="5"/>
  <c r="T757" i="5"/>
  <c r="S757" i="5"/>
  <c r="Q757" i="5"/>
  <c r="U757" i="5" s="1"/>
  <c r="M757" i="5"/>
  <c r="M756" i="5" s="1"/>
  <c r="T755" i="5"/>
  <c r="S755" i="5"/>
  <c r="Q755" i="5"/>
  <c r="M755" i="5"/>
  <c r="M754" i="5" s="1"/>
  <c r="V753" i="5"/>
  <c r="T752" i="5"/>
  <c r="S752" i="5"/>
  <c r="Q752" i="5"/>
  <c r="M752" i="5"/>
  <c r="M751" i="5" s="1"/>
  <c r="T750" i="5"/>
  <c r="S750" i="5"/>
  <c r="Q750" i="5"/>
  <c r="U750" i="5" s="1"/>
  <c r="M750" i="5"/>
  <c r="T749" i="5"/>
  <c r="S749" i="5"/>
  <c r="Q749" i="5"/>
  <c r="U749" i="5" s="1"/>
  <c r="M749" i="5"/>
  <c r="T748" i="5"/>
  <c r="S748" i="5"/>
  <c r="Q748" i="5"/>
  <c r="M748" i="5"/>
  <c r="V747" i="5"/>
  <c r="V746" i="5" s="1"/>
  <c r="T745" i="5"/>
  <c r="S745" i="5"/>
  <c r="Q745" i="5"/>
  <c r="U745" i="5" s="1"/>
  <c r="M745" i="5"/>
  <c r="T744" i="5"/>
  <c r="S744" i="5"/>
  <c r="Q744" i="5"/>
  <c r="U744" i="5" s="1"/>
  <c r="M744" i="5"/>
  <c r="T742" i="5"/>
  <c r="S742" i="5"/>
  <c r="Q742" i="5"/>
  <c r="M742" i="5"/>
  <c r="T740" i="5"/>
  <c r="S740" i="5"/>
  <c r="Q740" i="5"/>
  <c r="M740" i="5"/>
  <c r="T738" i="5"/>
  <c r="S738" i="5"/>
  <c r="Q738" i="5"/>
  <c r="M738" i="5"/>
  <c r="T737" i="5"/>
  <c r="S737" i="5"/>
  <c r="Q737" i="5"/>
  <c r="U737" i="5" s="1"/>
  <c r="M737" i="5"/>
  <c r="V735" i="5"/>
  <c r="T732" i="5"/>
  <c r="S732" i="5"/>
  <c r="Q732" i="5"/>
  <c r="M732" i="5"/>
  <c r="T731" i="5"/>
  <c r="S731" i="5"/>
  <c r="R731" i="5"/>
  <c r="Q731" i="5"/>
  <c r="T730" i="5"/>
  <c r="S730" i="5"/>
  <c r="Q730" i="5"/>
  <c r="U730" i="5" s="1"/>
  <c r="M730" i="5"/>
  <c r="T729" i="5"/>
  <c r="S729" i="5"/>
  <c r="R729" i="5"/>
  <c r="T728" i="5"/>
  <c r="S728" i="5"/>
  <c r="Q728" i="5"/>
  <c r="U728" i="5" s="1"/>
  <c r="M728" i="5"/>
  <c r="T727" i="5"/>
  <c r="S727" i="5"/>
  <c r="Q727" i="5"/>
  <c r="M727" i="5"/>
  <c r="T726" i="5"/>
  <c r="S726" i="5"/>
  <c r="Q726" i="5"/>
  <c r="U726" i="5" s="1"/>
  <c r="M726" i="5"/>
  <c r="T725" i="5"/>
  <c r="S725" i="5"/>
  <c r="Q725" i="5"/>
  <c r="U725" i="5" s="1"/>
  <c r="M725" i="5"/>
  <c r="T724" i="5"/>
  <c r="S724" i="5"/>
  <c r="Q724" i="5"/>
  <c r="U724" i="5" s="1"/>
  <c r="M724" i="5"/>
  <c r="T723" i="5"/>
  <c r="S723" i="5"/>
  <c r="R723" i="5"/>
  <c r="Q723" i="5"/>
  <c r="U723" i="5" s="1"/>
  <c r="T722" i="5"/>
  <c r="S722" i="5"/>
  <c r="Q722" i="5"/>
  <c r="U722" i="5" s="1"/>
  <c r="M722" i="5"/>
  <c r="T721" i="5"/>
  <c r="S721" i="5"/>
  <c r="Q721" i="5"/>
  <c r="U721" i="5" s="1"/>
  <c r="M721" i="5"/>
  <c r="V720" i="5"/>
  <c r="V719" i="5" s="1"/>
  <c r="V718" i="5" s="1"/>
  <c r="R720" i="5"/>
  <c r="R719" i="5"/>
  <c r="T717" i="5"/>
  <c r="T715" i="5" s="1"/>
  <c r="S717" i="5"/>
  <c r="S715" i="5" s="1"/>
  <c r="Q717" i="5"/>
  <c r="M717" i="5"/>
  <c r="M715" i="5" s="1"/>
  <c r="V715" i="5"/>
  <c r="R715" i="5"/>
  <c r="T714" i="5"/>
  <c r="S714" i="5"/>
  <c r="Q714" i="5"/>
  <c r="M714" i="5"/>
  <c r="M713" i="5" s="1"/>
  <c r="T713" i="5"/>
  <c r="S713" i="5"/>
  <c r="R713" i="5"/>
  <c r="T712" i="5"/>
  <c r="S712" i="5"/>
  <c r="Q712" i="5"/>
  <c r="M712" i="5"/>
  <c r="T711" i="5"/>
  <c r="S711" i="5"/>
  <c r="Q711" i="5"/>
  <c r="U711" i="5" s="1"/>
  <c r="M711" i="5"/>
  <c r="T710" i="5"/>
  <c r="S710" i="5"/>
  <c r="Q710" i="5"/>
  <c r="U710" i="5" s="1"/>
  <c r="M710" i="5"/>
  <c r="V709" i="5"/>
  <c r="R709" i="5"/>
  <c r="R708" i="5"/>
  <c r="T705" i="5"/>
  <c r="S705" i="5"/>
  <c r="Q705" i="5"/>
  <c r="M705" i="5"/>
  <c r="T704" i="5"/>
  <c r="S704" i="5"/>
  <c r="Q704" i="5"/>
  <c r="M704" i="5"/>
  <c r="T703" i="5"/>
  <c r="S703" i="5"/>
  <c r="R703" i="5"/>
  <c r="Q703" i="5"/>
  <c r="U703" i="5" s="1"/>
  <c r="T702" i="5"/>
  <c r="S702" i="5"/>
  <c r="Q702" i="5"/>
  <c r="R702" i="5" s="1"/>
  <c r="M702" i="5"/>
  <c r="T701" i="5"/>
  <c r="S701" i="5"/>
  <c r="Q701" i="5"/>
  <c r="M701" i="5"/>
  <c r="V700" i="5"/>
  <c r="V699" i="5" s="1"/>
  <c r="V698" i="5" s="1"/>
  <c r="V697" i="5" s="1"/>
  <c r="R700" i="5"/>
  <c r="R699" i="5"/>
  <c r="T696" i="5"/>
  <c r="S696" i="5"/>
  <c r="Q696" i="5"/>
  <c r="U696" i="5" s="1"/>
  <c r="M696" i="5"/>
  <c r="T694" i="5"/>
  <c r="S694" i="5"/>
  <c r="Q694" i="5"/>
  <c r="M694" i="5"/>
  <c r="T693" i="5"/>
  <c r="S693" i="5"/>
  <c r="Q693" i="5"/>
  <c r="U693" i="5" s="1"/>
  <c r="M693" i="5"/>
  <c r="T691" i="5"/>
  <c r="S691" i="5"/>
  <c r="Q691" i="5"/>
  <c r="U691" i="5" s="1"/>
  <c r="M691" i="5"/>
  <c r="T690" i="5"/>
  <c r="S690" i="5"/>
  <c r="Q690" i="5"/>
  <c r="U690" i="5" s="1"/>
  <c r="M690" i="5"/>
  <c r="T689" i="5"/>
  <c r="S689" i="5"/>
  <c r="Q689" i="5"/>
  <c r="M689" i="5"/>
  <c r="V688" i="5"/>
  <c r="V687" i="5" s="1"/>
  <c r="V686" i="5" s="1"/>
  <c r="V685" i="5" s="1"/>
  <c r="T684" i="5"/>
  <c r="T682" i="5" s="1"/>
  <c r="S684" i="5"/>
  <c r="S682" i="5" s="1"/>
  <c r="Q684" i="5"/>
  <c r="U684" i="5" s="1"/>
  <c r="U682" i="5" s="1"/>
  <c r="M684" i="5"/>
  <c r="M682" i="5" s="1"/>
  <c r="V682" i="5"/>
  <c r="T681" i="5"/>
  <c r="S681" i="5"/>
  <c r="Q681" i="5"/>
  <c r="U681" i="5" s="1"/>
  <c r="M681" i="5"/>
  <c r="T679" i="5"/>
  <c r="S679" i="5"/>
  <c r="Q679" i="5"/>
  <c r="U679" i="5" s="1"/>
  <c r="M679" i="5"/>
  <c r="T677" i="5"/>
  <c r="S677" i="5"/>
  <c r="Q677" i="5"/>
  <c r="M677" i="5"/>
  <c r="T676" i="5"/>
  <c r="S676" i="5"/>
  <c r="Q676" i="5"/>
  <c r="M676" i="5"/>
  <c r="T675" i="5"/>
  <c r="S675" i="5"/>
  <c r="Q675" i="5"/>
  <c r="M675" i="5"/>
  <c r="V674" i="5"/>
  <c r="R674" i="5"/>
  <c r="R673" i="5"/>
  <c r="T671" i="5"/>
  <c r="S671" i="5"/>
  <c r="Q671" i="5"/>
  <c r="U671" i="5" s="1"/>
  <c r="M671" i="5"/>
  <c r="T670" i="5"/>
  <c r="S670" i="5"/>
  <c r="R670" i="5"/>
  <c r="Q670" i="5"/>
  <c r="U670" i="5" s="1"/>
  <c r="T669" i="5"/>
  <c r="S669" i="5"/>
  <c r="R669" i="5"/>
  <c r="Q669" i="5"/>
  <c r="U669" i="5" s="1"/>
  <c r="T668" i="5"/>
  <c r="S668" i="5"/>
  <c r="Q668" i="5"/>
  <c r="U668" i="5" s="1"/>
  <c r="M668" i="5"/>
  <c r="T667" i="5"/>
  <c r="S667" i="5"/>
  <c r="R667" i="5"/>
  <c r="Q667" i="5"/>
  <c r="U667" i="5" s="1"/>
  <c r="T666" i="5"/>
  <c r="S666" i="5"/>
  <c r="Q666" i="5"/>
  <c r="U666" i="5" s="1"/>
  <c r="M666" i="5"/>
  <c r="T665" i="5"/>
  <c r="S665" i="5"/>
  <c r="Q665" i="5"/>
  <c r="U665" i="5" s="1"/>
  <c r="M665" i="5"/>
  <c r="T664" i="5"/>
  <c r="S664" i="5"/>
  <c r="Q664" i="5"/>
  <c r="M664" i="5"/>
  <c r="V663" i="5"/>
  <c r="V662" i="5" s="1"/>
  <c r="V661" i="5" s="1"/>
  <c r="R663" i="5"/>
  <c r="R662" i="5"/>
  <c r="Q660" i="5"/>
  <c r="S660" i="5" s="1"/>
  <c r="M660" i="5"/>
  <c r="M658" i="5"/>
  <c r="V657" i="5"/>
  <c r="Q657" i="5"/>
  <c r="M657" i="5"/>
  <c r="S656" i="5"/>
  <c r="R656" i="5"/>
  <c r="Q655" i="5"/>
  <c r="S655" i="5" s="1"/>
  <c r="M655" i="5"/>
  <c r="Q654" i="5"/>
  <c r="M654" i="5"/>
  <c r="Q653" i="5"/>
  <c r="M653" i="5"/>
  <c r="U652" i="5"/>
  <c r="U651" i="5" s="1"/>
  <c r="U650" i="5" s="1"/>
  <c r="T652" i="5"/>
  <c r="T651" i="5" s="1"/>
  <c r="T650" i="5" s="1"/>
  <c r="P650" i="5"/>
  <c r="P649" i="5" s="1"/>
  <c r="O650" i="5"/>
  <c r="O649" i="5" s="1"/>
  <c r="N650" i="5"/>
  <c r="N649" i="5" s="1"/>
  <c r="T647" i="5"/>
  <c r="S647" i="5"/>
  <c r="Q647" i="5"/>
  <c r="U647" i="5" s="1"/>
  <c r="M647" i="5"/>
  <c r="T646" i="5"/>
  <c r="S646" i="5"/>
  <c r="R646" i="5"/>
  <c r="Q646" i="5"/>
  <c r="U646" i="5" s="1"/>
  <c r="T645" i="5"/>
  <c r="S645" i="5"/>
  <c r="P645" i="5"/>
  <c r="Q645" i="5" s="1"/>
  <c r="U645" i="5" s="1"/>
  <c r="M645" i="5"/>
  <c r="T644" i="5"/>
  <c r="S644" i="5"/>
  <c r="R644" i="5"/>
  <c r="Q644" i="5"/>
  <c r="U644" i="5" s="1"/>
  <c r="T643" i="5"/>
  <c r="S643" i="5"/>
  <c r="Q643" i="5"/>
  <c r="U643" i="5" s="1"/>
  <c r="P643" i="5"/>
  <c r="M643" i="5"/>
  <c r="T642" i="5"/>
  <c r="S642" i="5"/>
  <c r="R642" i="5"/>
  <c r="Q642" i="5"/>
  <c r="U642" i="5" s="1"/>
  <c r="T641" i="5"/>
  <c r="S641" i="5"/>
  <c r="Q641" i="5"/>
  <c r="M641" i="5"/>
  <c r="V640" i="5"/>
  <c r="V639" i="5" s="1"/>
  <c r="V638" i="5" s="1"/>
  <c r="V637" i="5" s="1"/>
  <c r="R640" i="5"/>
  <c r="R639" i="5"/>
  <c r="T636" i="5"/>
  <c r="S636" i="5"/>
  <c r="Q636" i="5"/>
  <c r="U636" i="5" s="1"/>
  <c r="M636" i="5"/>
  <c r="T635" i="5"/>
  <c r="S635" i="5"/>
  <c r="Q635" i="5"/>
  <c r="M635" i="5"/>
  <c r="T634" i="5"/>
  <c r="S634" i="5"/>
  <c r="R634" i="5"/>
  <c r="Q634" i="5"/>
  <c r="U634" i="5" s="1"/>
  <c r="V633" i="5"/>
  <c r="V632" i="5" s="1"/>
  <c r="V631" i="5" s="1"/>
  <c r="V630" i="5" s="1"/>
  <c r="R633" i="5"/>
  <c r="R632" i="5"/>
  <c r="T629" i="5"/>
  <c r="S629" i="5"/>
  <c r="Q629" i="5"/>
  <c r="M629" i="5"/>
  <c r="M627" i="5"/>
  <c r="T626" i="5"/>
  <c r="S626" i="5"/>
  <c r="Q626" i="5"/>
  <c r="U626" i="5" s="1"/>
  <c r="M626" i="5"/>
  <c r="T624" i="5"/>
  <c r="S624" i="5"/>
  <c r="Q624" i="5"/>
  <c r="M624" i="5"/>
  <c r="T623" i="5"/>
  <c r="S623" i="5"/>
  <c r="Q623" i="5"/>
  <c r="M623" i="5"/>
  <c r="T622" i="5"/>
  <c r="T621" i="5" s="1"/>
  <c r="S622" i="5"/>
  <c r="Q622" i="5"/>
  <c r="M622" i="5"/>
  <c r="V621" i="5"/>
  <c r="V620" i="5" s="1"/>
  <c r="V619" i="5" s="1"/>
  <c r="V618" i="5" s="1"/>
  <c r="R621" i="5"/>
  <c r="R620" i="5"/>
  <c r="T617" i="5"/>
  <c r="S617" i="5"/>
  <c r="Q617" i="5"/>
  <c r="U617" i="5" s="1"/>
  <c r="M617" i="5"/>
  <c r="T616" i="5"/>
  <c r="S616" i="5"/>
  <c r="Q616" i="5"/>
  <c r="U616" i="5" s="1"/>
  <c r="M616" i="5"/>
  <c r="T615" i="5"/>
  <c r="S615" i="5"/>
  <c r="Q615" i="5"/>
  <c r="U615" i="5" s="1"/>
  <c r="M615" i="5"/>
  <c r="T613" i="5"/>
  <c r="S613" i="5"/>
  <c r="P613" i="5"/>
  <c r="Q613" i="5" s="1"/>
  <c r="M613" i="5"/>
  <c r="T611" i="5"/>
  <c r="S611" i="5"/>
  <c r="N611" i="5"/>
  <c r="Q611" i="5" s="1"/>
  <c r="M611" i="5"/>
  <c r="T610" i="5"/>
  <c r="S610" i="5"/>
  <c r="N610" i="5"/>
  <c r="Q610" i="5" s="1"/>
  <c r="M610" i="5"/>
  <c r="T608" i="5"/>
  <c r="S608" i="5"/>
  <c r="Q608" i="5"/>
  <c r="M608" i="5"/>
  <c r="V607" i="5"/>
  <c r="V606" i="5" s="1"/>
  <c r="V605" i="5" s="1"/>
  <c r="T604" i="5"/>
  <c r="S604" i="5"/>
  <c r="Q604" i="5"/>
  <c r="U604" i="5" s="1"/>
  <c r="M604" i="5"/>
  <c r="T603" i="5"/>
  <c r="S603" i="5"/>
  <c r="Q603" i="5"/>
  <c r="U603" i="5" s="1"/>
  <c r="M603" i="5"/>
  <c r="T602" i="5"/>
  <c r="S602" i="5"/>
  <c r="Q602" i="5"/>
  <c r="M602" i="5"/>
  <c r="T601" i="5"/>
  <c r="S601" i="5"/>
  <c r="Q601" i="5"/>
  <c r="M601" i="5"/>
  <c r="T600" i="5"/>
  <c r="S600" i="5"/>
  <c r="Q600" i="5"/>
  <c r="M600" i="5"/>
  <c r="T599" i="5"/>
  <c r="S599" i="5"/>
  <c r="R599" i="5"/>
  <c r="Q599" i="5"/>
  <c r="U599" i="5" s="1"/>
  <c r="T598" i="5"/>
  <c r="S598" i="5"/>
  <c r="P598" i="5"/>
  <c r="Q598" i="5" s="1"/>
  <c r="U598" i="5" s="1"/>
  <c r="M598" i="5"/>
  <c r="T597" i="5"/>
  <c r="S597" i="5"/>
  <c r="R597" i="5"/>
  <c r="Q597" i="5"/>
  <c r="U597" i="5" s="1"/>
  <c r="T596" i="5"/>
  <c r="S596" i="5"/>
  <c r="Q596" i="5"/>
  <c r="U596" i="5" s="1"/>
  <c r="M596" i="5"/>
  <c r="T595" i="5"/>
  <c r="S595" i="5"/>
  <c r="N595" i="5"/>
  <c r="Q595" i="5" s="1"/>
  <c r="M595" i="5"/>
  <c r="T594" i="5"/>
  <c r="S594" i="5"/>
  <c r="N594" i="5"/>
  <c r="Q594" i="5" s="1"/>
  <c r="M594" i="5"/>
  <c r="T593" i="5"/>
  <c r="S593" i="5"/>
  <c r="N593" i="5"/>
  <c r="Q593" i="5" s="1"/>
  <c r="M593" i="5"/>
  <c r="T592" i="5"/>
  <c r="S592" i="5"/>
  <c r="R592" i="5"/>
  <c r="Q592" i="5"/>
  <c r="T591" i="5"/>
  <c r="S591" i="5"/>
  <c r="Q591" i="5"/>
  <c r="U591" i="5" s="1"/>
  <c r="M591" i="5"/>
  <c r="T590" i="5"/>
  <c r="S590" i="5"/>
  <c r="R590" i="5"/>
  <c r="Q590" i="5"/>
  <c r="U590" i="5" s="1"/>
  <c r="V589" i="5"/>
  <c r="V583" i="5" s="1"/>
  <c r="R589" i="5"/>
  <c r="T588" i="5"/>
  <c r="S588" i="5"/>
  <c r="Q588" i="5"/>
  <c r="U588" i="5" s="1"/>
  <c r="M588" i="5"/>
  <c r="T587" i="5"/>
  <c r="S587" i="5"/>
  <c r="Q587" i="5"/>
  <c r="M587" i="5"/>
  <c r="T586" i="5"/>
  <c r="S586" i="5"/>
  <c r="Q586" i="5"/>
  <c r="U586" i="5" s="1"/>
  <c r="M586" i="5"/>
  <c r="T585" i="5"/>
  <c r="S585" i="5"/>
  <c r="Q585" i="5"/>
  <c r="M585" i="5"/>
  <c r="T584" i="5"/>
  <c r="S584" i="5"/>
  <c r="Q584" i="5"/>
  <c r="M584" i="5"/>
  <c r="M583" i="5"/>
  <c r="R583" i="5" s="1"/>
  <c r="T582" i="5"/>
  <c r="S582" i="5"/>
  <c r="R582" i="5"/>
  <c r="Q582" i="5"/>
  <c r="U582" i="5" s="1"/>
  <c r="T581" i="5"/>
  <c r="S581" i="5"/>
  <c r="Q581" i="5"/>
  <c r="M581" i="5"/>
  <c r="T580" i="5"/>
  <c r="S580" i="5"/>
  <c r="Q580" i="5"/>
  <c r="U580" i="5" s="1"/>
  <c r="M580" i="5"/>
  <c r="T579" i="5"/>
  <c r="S579" i="5"/>
  <c r="Q579" i="5"/>
  <c r="U579" i="5" s="1"/>
  <c r="M579" i="5"/>
  <c r="T578" i="5"/>
  <c r="S578" i="5"/>
  <c r="Q578" i="5"/>
  <c r="M578" i="5"/>
  <c r="T577" i="5"/>
  <c r="S577" i="5"/>
  <c r="R577" i="5"/>
  <c r="Q577" i="5"/>
  <c r="U577" i="5" s="1"/>
  <c r="V576" i="5"/>
  <c r="V575" i="5" s="1"/>
  <c r="V574" i="5" s="1"/>
  <c r="M576" i="5"/>
  <c r="M575" i="5"/>
  <c r="P574" i="5"/>
  <c r="Q574" i="5" s="1"/>
  <c r="M574" i="5"/>
  <c r="T573" i="5"/>
  <c r="S573" i="5"/>
  <c r="Q573" i="5"/>
  <c r="M573" i="5"/>
  <c r="T572" i="5"/>
  <c r="S572" i="5"/>
  <c r="R572" i="5"/>
  <c r="Q572" i="5"/>
  <c r="U572" i="5" s="1"/>
  <c r="T571" i="5"/>
  <c r="S571" i="5"/>
  <c r="Q571" i="5"/>
  <c r="M571" i="5"/>
  <c r="T570" i="5"/>
  <c r="S570" i="5"/>
  <c r="Q570" i="5"/>
  <c r="M570" i="5"/>
  <c r="V569" i="5"/>
  <c r="M569" i="5"/>
  <c r="T568" i="5"/>
  <c r="S568" i="5"/>
  <c r="Q568" i="5"/>
  <c r="U568" i="5" s="1"/>
  <c r="M568" i="5"/>
  <c r="T567" i="5"/>
  <c r="S567" i="5"/>
  <c r="Q567" i="5"/>
  <c r="U567" i="5" s="1"/>
  <c r="M567" i="5"/>
  <c r="T566" i="5"/>
  <c r="S566" i="5"/>
  <c r="Q566" i="5"/>
  <c r="U566" i="5" s="1"/>
  <c r="M566" i="5"/>
  <c r="T565" i="5"/>
  <c r="S565" i="5"/>
  <c r="Q565" i="5"/>
  <c r="M565" i="5"/>
  <c r="T564" i="5"/>
  <c r="S564" i="5"/>
  <c r="Q564" i="5"/>
  <c r="U564" i="5" s="1"/>
  <c r="M564" i="5"/>
  <c r="T563" i="5"/>
  <c r="S563" i="5"/>
  <c r="R563" i="5"/>
  <c r="Q563" i="5"/>
  <c r="U563" i="5" s="1"/>
  <c r="T562" i="5"/>
  <c r="S562" i="5"/>
  <c r="Q562" i="5"/>
  <c r="U562" i="5" s="1"/>
  <c r="M562" i="5"/>
  <c r="T561" i="5"/>
  <c r="S561" i="5"/>
  <c r="Q561" i="5"/>
  <c r="U561" i="5" s="1"/>
  <c r="M561" i="5"/>
  <c r="V560" i="5"/>
  <c r="R560" i="5"/>
  <c r="R559" i="5"/>
  <c r="R558" i="5"/>
  <c r="T556" i="5"/>
  <c r="S556" i="5"/>
  <c r="Q556" i="5"/>
  <c r="U556" i="5" s="1"/>
  <c r="M556" i="5"/>
  <c r="M555" i="5"/>
  <c r="T554" i="5"/>
  <c r="S554" i="5"/>
  <c r="Q554" i="5"/>
  <c r="U554" i="5" s="1"/>
  <c r="T553" i="5"/>
  <c r="S553" i="5"/>
  <c r="Q553" i="5"/>
  <c r="U553" i="5" s="1"/>
  <c r="M553" i="5"/>
  <c r="T552" i="5"/>
  <c r="S552" i="5"/>
  <c r="Q552" i="5"/>
  <c r="U552" i="5" s="1"/>
  <c r="M552" i="5"/>
  <c r="T551" i="5"/>
  <c r="S551" i="5"/>
  <c r="Q551" i="5"/>
  <c r="U551" i="5" s="1"/>
  <c r="T550" i="5"/>
  <c r="S550" i="5"/>
  <c r="Q550" i="5"/>
  <c r="U550" i="5" s="1"/>
  <c r="M550" i="5"/>
  <c r="T549" i="5"/>
  <c r="S549" i="5"/>
  <c r="Q549" i="5"/>
  <c r="U549" i="5" s="1"/>
  <c r="M549" i="5"/>
  <c r="T548" i="5"/>
  <c r="S548" i="5"/>
  <c r="Q548" i="5"/>
  <c r="U548" i="5" s="1"/>
  <c r="T547" i="5"/>
  <c r="S547" i="5"/>
  <c r="Q547" i="5"/>
  <c r="U547" i="5" s="1"/>
  <c r="M547" i="5"/>
  <c r="T546" i="5"/>
  <c r="S546" i="5"/>
  <c r="Q546" i="5"/>
  <c r="U546" i="5" s="1"/>
  <c r="M546" i="5"/>
  <c r="T545" i="5"/>
  <c r="S545" i="5"/>
  <c r="Q545" i="5"/>
  <c r="U545" i="5" s="1"/>
  <c r="M545" i="5"/>
  <c r="T544" i="5"/>
  <c r="S544" i="5"/>
  <c r="Q544" i="5"/>
  <c r="U544" i="5" s="1"/>
  <c r="M544" i="5"/>
  <c r="T543" i="5"/>
  <c r="S543" i="5"/>
  <c r="Q543" i="5"/>
  <c r="U543" i="5" s="1"/>
  <c r="T542" i="5"/>
  <c r="S542" i="5"/>
  <c r="Q542" i="5"/>
  <c r="M542" i="5"/>
  <c r="R541" i="5"/>
  <c r="R540" i="5"/>
  <c r="T537" i="5"/>
  <c r="S537" i="5"/>
  <c r="Q537" i="5"/>
  <c r="M537" i="5"/>
  <c r="T536" i="5"/>
  <c r="T535" i="5" s="1"/>
  <c r="S536" i="5"/>
  <c r="Q536" i="5"/>
  <c r="M536" i="5"/>
  <c r="V535" i="5"/>
  <c r="V534" i="5" s="1"/>
  <c r="V533" i="5" s="1"/>
  <c r="V532" i="5" s="1"/>
  <c r="R535" i="5"/>
  <c r="R534" i="5"/>
  <c r="R533" i="5"/>
  <c r="R532" i="5"/>
  <c r="T531" i="5"/>
  <c r="S531" i="5"/>
  <c r="N531" i="5"/>
  <c r="Q531" i="5" s="1"/>
  <c r="U531" i="5" s="1"/>
  <c r="M531" i="5"/>
  <c r="T530" i="5"/>
  <c r="T528" i="5" s="1" a="1"/>
  <c r="S530" i="5"/>
  <c r="N530" i="5"/>
  <c r="Q530" i="5" s="1"/>
  <c r="M530" i="5"/>
  <c r="T529" i="5"/>
  <c r="S529" i="5"/>
  <c r="R529" i="5"/>
  <c r="Q529" i="5"/>
  <c r="U529" i="5" s="1"/>
  <c r="V528" i="5" a="1"/>
  <c r="V528" i="5" s="1"/>
  <c r="V527" i="5" s="1"/>
  <c r="V526" i="5" s="1"/>
  <c r="R528" i="5"/>
  <c r="M528" i="5" a="1"/>
  <c r="R527" i="5"/>
  <c r="T525" i="5"/>
  <c r="S525" i="5"/>
  <c r="Q525" i="5"/>
  <c r="M525" i="5"/>
  <c r="M524" i="5" s="1"/>
  <c r="T524" i="5"/>
  <c r="S524" i="5"/>
  <c r="R524" i="5"/>
  <c r="Q524" i="5"/>
  <c r="U524" i="5" s="1"/>
  <c r="T523" i="5"/>
  <c r="S523" i="5"/>
  <c r="Q523" i="5"/>
  <c r="M523" i="5"/>
  <c r="T522" i="5"/>
  <c r="S522" i="5"/>
  <c r="R522" i="5"/>
  <c r="Q522" i="5"/>
  <c r="U522" i="5" s="1"/>
  <c r="T521" i="5"/>
  <c r="S521" i="5"/>
  <c r="Q521" i="5"/>
  <c r="M521" i="5"/>
  <c r="V520" i="5"/>
  <c r="V519" i="5" s="1"/>
  <c r="V518" i="5" s="1"/>
  <c r="R520" i="5"/>
  <c r="R519" i="5"/>
  <c r="T517" i="5"/>
  <c r="S517" i="5"/>
  <c r="Q517" i="5"/>
  <c r="U517" i="5" s="1"/>
  <c r="M517" i="5"/>
  <c r="T516" i="5"/>
  <c r="S516" i="5"/>
  <c r="R516" i="5"/>
  <c r="Q516" i="5"/>
  <c r="V515" i="5"/>
  <c r="R515" i="5"/>
  <c r="T514" i="5"/>
  <c r="S514" i="5"/>
  <c r="N514" i="5"/>
  <c r="Q514" i="5" s="1"/>
  <c r="M514" i="5"/>
  <c r="T512" i="5"/>
  <c r="S512" i="5"/>
  <c r="Q512" i="5"/>
  <c r="U512" i="5" s="1"/>
  <c r="M512" i="5"/>
  <c r="V510" i="5"/>
  <c r="R510" i="5"/>
  <c r="R509" i="5"/>
  <c r="T507" i="5"/>
  <c r="S507" i="5"/>
  <c r="Q507" i="5"/>
  <c r="U507" i="5" s="1"/>
  <c r="M507" i="5"/>
  <c r="T506" i="5"/>
  <c r="S506" i="5"/>
  <c r="Q506" i="5"/>
  <c r="U506" i="5" s="1"/>
  <c r="M506" i="5"/>
  <c r="R505" i="5"/>
  <c r="R504" i="5"/>
  <c r="T503" i="5"/>
  <c r="S503" i="5"/>
  <c r="Q503" i="5"/>
  <c r="U503" i="5" s="1"/>
  <c r="M503" i="5"/>
  <c r="T502" i="5"/>
  <c r="S502" i="5"/>
  <c r="Q502" i="5"/>
  <c r="U502" i="5" s="1"/>
  <c r="M502" i="5"/>
  <c r="T501" i="5"/>
  <c r="S501" i="5"/>
  <c r="R501" i="5"/>
  <c r="Q501" i="5"/>
  <c r="U501" i="5" s="1"/>
  <c r="V500" i="5"/>
  <c r="R500" i="5"/>
  <c r="T499" i="5"/>
  <c r="S499" i="5"/>
  <c r="Q499" i="5"/>
  <c r="U499" i="5" s="1"/>
  <c r="M499" i="5"/>
  <c r="T498" i="5"/>
  <c r="S498" i="5"/>
  <c r="Q498" i="5"/>
  <c r="M498" i="5"/>
  <c r="T497" i="5"/>
  <c r="S497" i="5"/>
  <c r="R497" i="5"/>
  <c r="Q497" i="5"/>
  <c r="U497" i="5" s="1"/>
  <c r="T496" i="5"/>
  <c r="S496" i="5"/>
  <c r="Q496" i="5"/>
  <c r="M496" i="5"/>
  <c r="T495" i="5"/>
  <c r="S495" i="5"/>
  <c r="Q495" i="5"/>
  <c r="U495" i="5" s="1"/>
  <c r="M495" i="5"/>
  <c r="T494" i="5"/>
  <c r="S494" i="5"/>
  <c r="R494" i="5"/>
  <c r="Q494" i="5"/>
  <c r="U494" i="5" s="1"/>
  <c r="T493" i="5"/>
  <c r="S493" i="5"/>
  <c r="Q493" i="5"/>
  <c r="U493" i="5" s="1"/>
  <c r="M493" i="5"/>
  <c r="T492" i="5"/>
  <c r="S492" i="5"/>
  <c r="Q492" i="5"/>
  <c r="U492" i="5" s="1"/>
  <c r="M492" i="5"/>
  <c r="T491" i="5"/>
  <c r="S491" i="5"/>
  <c r="R491" i="5"/>
  <c r="Q491" i="5"/>
  <c r="U491" i="5" s="1"/>
  <c r="T490" i="5"/>
  <c r="S490" i="5"/>
  <c r="Q490" i="5"/>
  <c r="U490" i="5" s="1"/>
  <c r="M490" i="5"/>
  <c r="T489" i="5"/>
  <c r="S489" i="5"/>
  <c r="Q489" i="5"/>
  <c r="M489" i="5"/>
  <c r="T488" i="5"/>
  <c r="S488" i="5"/>
  <c r="R488" i="5"/>
  <c r="Q488" i="5"/>
  <c r="U488" i="5" s="1"/>
  <c r="V487" i="5"/>
  <c r="R487" i="5"/>
  <c r="R486" i="5"/>
  <c r="T484" i="5"/>
  <c r="S484" i="5"/>
  <c r="Q484" i="5"/>
  <c r="U484" i="5" s="1"/>
  <c r="M484" i="5"/>
  <c r="T483" i="5"/>
  <c r="S483" i="5"/>
  <c r="N483" i="5"/>
  <c r="Q483" i="5" s="1"/>
  <c r="U483" i="5" s="1"/>
  <c r="M483" i="5"/>
  <c r="T482" i="5"/>
  <c r="S482" i="5"/>
  <c r="Q482" i="5"/>
  <c r="N482" i="5"/>
  <c r="M482" i="5"/>
  <c r="T481" i="5"/>
  <c r="S481" i="5"/>
  <c r="R481" i="5"/>
  <c r="Q481" i="5"/>
  <c r="U481" i="5" s="1"/>
  <c r="V480" i="5"/>
  <c r="R480" i="5"/>
  <c r="T479" i="5"/>
  <c r="S479" i="5"/>
  <c r="N479" i="5"/>
  <c r="Q479" i="5" s="1"/>
  <c r="U479" i="5" s="1"/>
  <c r="M479" i="5"/>
  <c r="T478" i="5"/>
  <c r="S478" i="5"/>
  <c r="R478" i="5"/>
  <c r="Q478" i="5"/>
  <c r="V477" i="5"/>
  <c r="R477" i="5"/>
  <c r="T476" i="5"/>
  <c r="T475" i="5" s="1"/>
  <c r="S476" i="5"/>
  <c r="S475" i="5" s="1"/>
  <c r="N476" i="5"/>
  <c r="Q476" i="5" s="1"/>
  <c r="M476" i="5"/>
  <c r="M475" i="5" s="1"/>
  <c r="V475" i="5"/>
  <c r="R475" i="5"/>
  <c r="R474" i="5"/>
  <c r="T471" i="5"/>
  <c r="S471" i="5"/>
  <c r="Q471" i="5"/>
  <c r="U471" i="5" s="1"/>
  <c r="M471" i="5"/>
  <c r="T470" i="5"/>
  <c r="S470" i="5"/>
  <c r="Q470" i="5"/>
  <c r="M470" i="5"/>
  <c r="T469" i="5"/>
  <c r="S469" i="5"/>
  <c r="Q469" i="5"/>
  <c r="U469" i="5" s="1"/>
  <c r="M469" i="5"/>
  <c r="T468" i="5"/>
  <c r="S468" i="5"/>
  <c r="Q468" i="5"/>
  <c r="U468" i="5" s="1"/>
  <c r="M468" i="5"/>
  <c r="T467" i="5"/>
  <c r="S467" i="5"/>
  <c r="Q467" i="5"/>
  <c r="U467" i="5" s="1"/>
  <c r="M467" i="5"/>
  <c r="T466" i="5"/>
  <c r="S466" i="5"/>
  <c r="Q466" i="5"/>
  <c r="U466" i="5" s="1"/>
  <c r="M466" i="5"/>
  <c r="V464" i="5"/>
  <c r="V458" i="5" s="1"/>
  <c r="V457" i="5" s="1"/>
  <c r="T463" i="5"/>
  <c r="S463" i="5"/>
  <c r="Q463" i="5"/>
  <c r="M463" i="5"/>
  <c r="T462" i="5"/>
  <c r="S462" i="5"/>
  <c r="Q462" i="5"/>
  <c r="U462" i="5" s="1"/>
  <c r="M462" i="5"/>
  <c r="T461" i="5"/>
  <c r="S461" i="5"/>
  <c r="Q461" i="5"/>
  <c r="U461" i="5" s="1"/>
  <c r="M461" i="5"/>
  <c r="T456" i="5"/>
  <c r="T455" i="5" s="1"/>
  <c r="S456" i="5"/>
  <c r="S455" i="5" s="1"/>
  <c r="Q456" i="5"/>
  <c r="U456" i="5" s="1"/>
  <c r="U455" i="5" s="1"/>
  <c r="M456" i="5"/>
  <c r="M455" i="5" s="1"/>
  <c r="V455" i="5"/>
  <c r="T454" i="5"/>
  <c r="S454" i="5"/>
  <c r="Q454" i="5"/>
  <c r="M454" i="5"/>
  <c r="T452" i="5"/>
  <c r="S452" i="5"/>
  <c r="Q452" i="5"/>
  <c r="M452" i="5"/>
  <c r="T451" i="5"/>
  <c r="S451" i="5"/>
  <c r="Q451" i="5"/>
  <c r="U451" i="5" s="1"/>
  <c r="M451" i="5"/>
  <c r="T449" i="5"/>
  <c r="S449" i="5"/>
  <c r="Q449" i="5"/>
  <c r="M449" i="5"/>
  <c r="T448" i="5"/>
  <c r="S448" i="5"/>
  <c r="Q448" i="5"/>
  <c r="U448" i="5" s="1"/>
  <c r="M448" i="5"/>
  <c r="T447" i="5"/>
  <c r="S447" i="5"/>
  <c r="Q447" i="5"/>
  <c r="U447" i="5" s="1"/>
  <c r="M447" i="5"/>
  <c r="T445" i="5"/>
  <c r="S445" i="5"/>
  <c r="Q445" i="5"/>
  <c r="U445" i="5" s="1"/>
  <c r="M445" i="5"/>
  <c r="V444" i="5"/>
  <c r="V443" i="5" s="1"/>
  <c r="T441" i="5"/>
  <c r="S441" i="5"/>
  <c r="Q441" i="5"/>
  <c r="U441" i="5" s="1"/>
  <c r="M441" i="5"/>
  <c r="T440" i="5"/>
  <c r="S440" i="5"/>
  <c r="Q440" i="5"/>
  <c r="M440" i="5"/>
  <c r="T439" i="5"/>
  <c r="S439" i="5"/>
  <c r="Q439" i="5"/>
  <c r="M439" i="5"/>
  <c r="T438" i="5"/>
  <c r="S438" i="5"/>
  <c r="Q438" i="5"/>
  <c r="U438" i="5" s="1"/>
  <c r="M438" i="5"/>
  <c r="T437" i="5"/>
  <c r="S437" i="5"/>
  <c r="R437" i="5"/>
  <c r="Q437" i="5"/>
  <c r="U437" i="5" s="1"/>
  <c r="T436" i="5"/>
  <c r="S436" i="5"/>
  <c r="Q436" i="5"/>
  <c r="P436" i="5"/>
  <c r="M436" i="5"/>
  <c r="V435" i="5"/>
  <c r="R435" i="5"/>
  <c r="T434" i="5"/>
  <c r="S434" i="5"/>
  <c r="Q434" i="5"/>
  <c r="P434" i="5"/>
  <c r="M434" i="5"/>
  <c r="T433" i="5"/>
  <c r="S433" i="5"/>
  <c r="Q433" i="5"/>
  <c r="U433" i="5" s="1"/>
  <c r="M433" i="5"/>
  <c r="V432" i="5"/>
  <c r="R432" i="5"/>
  <c r="R431" i="5"/>
  <c r="T429" i="5"/>
  <c r="S429" i="5"/>
  <c r="Q429" i="5"/>
  <c r="U429" i="5" s="1"/>
  <c r="M429" i="5"/>
  <c r="T428" i="5"/>
  <c r="S428" i="5"/>
  <c r="N428" i="5"/>
  <c r="Q428" i="5" s="1"/>
  <c r="M428" i="5"/>
  <c r="T427" i="5"/>
  <c r="S427" i="5"/>
  <c r="Q427" i="5"/>
  <c r="U427" i="5" s="1"/>
  <c r="M427" i="5"/>
  <c r="T426" i="5"/>
  <c r="S426" i="5"/>
  <c r="R426" i="5"/>
  <c r="Q426" i="5"/>
  <c r="U426" i="5" s="1"/>
  <c r="T425" i="5"/>
  <c r="S425" i="5"/>
  <c r="R425" i="5"/>
  <c r="T424" i="5"/>
  <c r="S424" i="5"/>
  <c r="Q424" i="5"/>
  <c r="U424" i="5" s="1"/>
  <c r="M424" i="5"/>
  <c r="T423" i="5"/>
  <c r="S423" i="5"/>
  <c r="Q423" i="5"/>
  <c r="U423" i="5" s="1"/>
  <c r="N423" i="5"/>
  <c r="M423" i="5"/>
  <c r="T422" i="5"/>
  <c r="S422" i="5"/>
  <c r="Q422" i="5"/>
  <c r="U422" i="5" s="1"/>
  <c r="N422" i="5"/>
  <c r="M422" i="5"/>
  <c r="T421" i="5"/>
  <c r="S421" i="5"/>
  <c r="N421" i="5"/>
  <c r="Q421" i="5" s="1"/>
  <c r="U421" i="5" s="1"/>
  <c r="M421" i="5"/>
  <c r="T420" i="5"/>
  <c r="S420" i="5"/>
  <c r="N420" i="5"/>
  <c r="Q420" i="5" s="1"/>
  <c r="U420" i="5" s="1"/>
  <c r="M420" i="5"/>
  <c r="T419" i="5"/>
  <c r="S419" i="5"/>
  <c r="N419" i="5"/>
  <c r="Q419" i="5" s="1"/>
  <c r="M419" i="5"/>
  <c r="T418" i="5"/>
  <c r="S418" i="5"/>
  <c r="N418" i="5"/>
  <c r="Q418" i="5" s="1"/>
  <c r="M418" i="5"/>
  <c r="T417" i="5"/>
  <c r="S417" i="5"/>
  <c r="R417" i="5"/>
  <c r="Q417" i="5"/>
  <c r="V416" i="5"/>
  <c r="V415" i="5" s="1"/>
  <c r="V414" i="5" s="1"/>
  <c r="R416" i="5"/>
  <c r="R415" i="5"/>
  <c r="T411" i="5"/>
  <c r="S411" i="5"/>
  <c r="Q411" i="5"/>
  <c r="U411" i="5" s="1"/>
  <c r="M411" i="5"/>
  <c r="M409" i="5" s="1"/>
  <c r="T410" i="5"/>
  <c r="S410" i="5"/>
  <c r="R410" i="5"/>
  <c r="Q410" i="5"/>
  <c r="U410" i="5" s="1"/>
  <c r="T409" i="5"/>
  <c r="S409" i="5"/>
  <c r="R409" i="5"/>
  <c r="Q409" i="5"/>
  <c r="U409" i="5" s="1"/>
  <c r="T408" i="5"/>
  <c r="S408" i="5"/>
  <c r="Q408" i="5"/>
  <c r="M408" i="5"/>
  <c r="M407" i="5" s="1"/>
  <c r="T407" i="5"/>
  <c r="T406" i="5" s="1"/>
  <c r="T405" i="5" s="1"/>
  <c r="T404" i="5" s="1"/>
  <c r="S407" i="5"/>
  <c r="S406" i="5" s="1"/>
  <c r="S405" i="5" s="1"/>
  <c r="S404" i="5" s="1"/>
  <c r="R407" i="5"/>
  <c r="Q407" i="5"/>
  <c r="V406" i="5"/>
  <c r="V405" i="5" s="1"/>
  <c r="V404" i="5" s="1"/>
  <c r="R406" i="5"/>
  <c r="R405" i="5"/>
  <c r="T403" i="5"/>
  <c r="S403" i="5"/>
  <c r="Q403" i="5"/>
  <c r="Q402" i="5" s="1"/>
  <c r="U402" i="5" s="1"/>
  <c r="M403" i="5"/>
  <c r="M402" i="5" s="1"/>
  <c r="T402" i="5"/>
  <c r="S402" i="5"/>
  <c r="R402" i="5"/>
  <c r="T401" i="5"/>
  <c r="S401" i="5"/>
  <c r="R401" i="5"/>
  <c r="Q401" i="5"/>
  <c r="U401" i="5" s="1"/>
  <c r="T400" i="5"/>
  <c r="S400" i="5"/>
  <c r="Q400" i="5"/>
  <c r="U400" i="5" s="1"/>
  <c r="M400" i="5"/>
  <c r="T399" i="5"/>
  <c r="S399" i="5"/>
  <c r="R399" i="5"/>
  <c r="Q399" i="5"/>
  <c r="T398" i="5"/>
  <c r="S398" i="5"/>
  <c r="Q398" i="5"/>
  <c r="U398" i="5" s="1"/>
  <c r="M398" i="5"/>
  <c r="V397" i="5"/>
  <c r="V396" i="5" s="1"/>
  <c r="R397" i="5"/>
  <c r="R396" i="5"/>
  <c r="T395" i="5"/>
  <c r="S395" i="5"/>
  <c r="Q395" i="5"/>
  <c r="U395" i="5" s="1"/>
  <c r="M395" i="5"/>
  <c r="T394" i="5"/>
  <c r="S394" i="5"/>
  <c r="R394" i="5"/>
  <c r="Q394" i="5"/>
  <c r="U394" i="5" s="1"/>
  <c r="T393" i="5"/>
  <c r="S393" i="5"/>
  <c r="N393" i="5"/>
  <c r="Q393" i="5" s="1"/>
  <c r="U393" i="5" s="1"/>
  <c r="M393" i="5"/>
  <c r="T392" i="5"/>
  <c r="S392" i="5"/>
  <c r="Q392" i="5"/>
  <c r="U392" i="5" s="1"/>
  <c r="N392" i="5"/>
  <c r="M392" i="5"/>
  <c r="T391" i="5"/>
  <c r="S391" i="5"/>
  <c r="N391" i="5"/>
  <c r="Q391" i="5" s="1"/>
  <c r="M391" i="5"/>
  <c r="T390" i="5"/>
  <c r="S390" i="5"/>
  <c r="R390" i="5"/>
  <c r="Q390" i="5"/>
  <c r="U390" i="5" s="1"/>
  <c r="T389" i="5"/>
  <c r="S389" i="5"/>
  <c r="R389" i="5"/>
  <c r="T388" i="5"/>
  <c r="S388" i="5"/>
  <c r="Q388" i="5"/>
  <c r="M388" i="5"/>
  <c r="T387" i="5"/>
  <c r="S387" i="5"/>
  <c r="Q387" i="5"/>
  <c r="U387" i="5" s="1"/>
  <c r="M387" i="5"/>
  <c r="T386" i="5"/>
  <c r="S386" i="5"/>
  <c r="Q386" i="5"/>
  <c r="M386" i="5"/>
  <c r="T385" i="5"/>
  <c r="S385" i="5"/>
  <c r="R385" i="5"/>
  <c r="Q385" i="5"/>
  <c r="U385" i="5" s="1"/>
  <c r="T384" i="5"/>
  <c r="S384" i="5"/>
  <c r="Q384" i="5"/>
  <c r="M384" i="5"/>
  <c r="T383" i="5"/>
  <c r="S383" i="5"/>
  <c r="Q383" i="5"/>
  <c r="M383" i="5"/>
  <c r="T382" i="5"/>
  <c r="S382" i="5"/>
  <c r="R382" i="5"/>
  <c r="Q382" i="5"/>
  <c r="V381" i="5"/>
  <c r="V380" i="5" s="1"/>
  <c r="R381" i="5"/>
  <c r="R380" i="5"/>
  <c r="T378" i="5"/>
  <c r="S378" i="5"/>
  <c r="Q378" i="5"/>
  <c r="Q377" i="5" s="1"/>
  <c r="U377" i="5" s="1"/>
  <c r="M378" i="5"/>
  <c r="M377" i="5" s="1"/>
  <c r="T377" i="5"/>
  <c r="S377" i="5"/>
  <c r="R377" i="5"/>
  <c r="T376" i="5"/>
  <c r="S376" i="5"/>
  <c r="Q376" i="5"/>
  <c r="U376" i="5" s="1"/>
  <c r="M376" i="5"/>
  <c r="T375" i="5"/>
  <c r="S375" i="5"/>
  <c r="Q375" i="5"/>
  <c r="M375" i="5"/>
  <c r="V374" i="5"/>
  <c r="V373" i="5" s="1"/>
  <c r="V372" i="5" s="1"/>
  <c r="R374" i="5"/>
  <c r="R373" i="5"/>
  <c r="T371" i="5"/>
  <c r="S371" i="5"/>
  <c r="Q371" i="5"/>
  <c r="U371" i="5" s="1"/>
  <c r="M371" i="5"/>
  <c r="M370" i="5" s="1"/>
  <c r="T370" i="5"/>
  <c r="S370" i="5"/>
  <c r="R370" i="5"/>
  <c r="Q370" i="5"/>
  <c r="U370" i="5" s="1"/>
  <c r="T369" i="5"/>
  <c r="S369" i="5"/>
  <c r="Q369" i="5"/>
  <c r="M369" i="5"/>
  <c r="T368" i="5"/>
  <c r="S368" i="5"/>
  <c r="Q368" i="5"/>
  <c r="U368" i="5" s="1"/>
  <c r="M368" i="5"/>
  <c r="T367" i="5"/>
  <c r="S367" i="5"/>
  <c r="R367" i="5"/>
  <c r="Q367" i="5"/>
  <c r="U367" i="5" s="1"/>
  <c r="T366" i="5"/>
  <c r="S366" i="5"/>
  <c r="Q366" i="5"/>
  <c r="U366" i="5" s="1"/>
  <c r="M366" i="5"/>
  <c r="T365" i="5"/>
  <c r="S365" i="5"/>
  <c r="Q365" i="5"/>
  <c r="U365" i="5" s="1"/>
  <c r="M365" i="5"/>
  <c r="V364" i="5"/>
  <c r="V363" i="5" s="1"/>
  <c r="V362" i="5" s="1"/>
  <c r="R364" i="5"/>
  <c r="R363" i="5"/>
  <c r="T361" i="5"/>
  <c r="S361" i="5"/>
  <c r="Q361" i="5"/>
  <c r="U361" i="5" s="1"/>
  <c r="M361" i="5"/>
  <c r="T360" i="5"/>
  <c r="S360" i="5"/>
  <c r="Q360" i="5"/>
  <c r="U360" i="5" s="1"/>
  <c r="M360" i="5"/>
  <c r="T359" i="5"/>
  <c r="S359" i="5"/>
  <c r="Q359" i="5"/>
  <c r="M359" i="5"/>
  <c r="T358" i="5"/>
  <c r="S358" i="5"/>
  <c r="Q358" i="5"/>
  <c r="U358" i="5" s="1"/>
  <c r="M358" i="5"/>
  <c r="T357" i="5"/>
  <c r="S357" i="5"/>
  <c r="R357" i="5"/>
  <c r="T356" i="5"/>
  <c r="S356" i="5"/>
  <c r="R356" i="5"/>
  <c r="U355" i="5"/>
  <c r="T355" i="5"/>
  <c r="S355" i="5"/>
  <c r="Q355" i="5"/>
  <c r="M355" i="5"/>
  <c r="T354" i="5"/>
  <c r="S354" i="5"/>
  <c r="Q354" i="5"/>
  <c r="U354" i="5" s="1"/>
  <c r="M354" i="5"/>
  <c r="T353" i="5"/>
  <c r="S353" i="5"/>
  <c r="R353" i="5"/>
  <c r="Q353" i="5"/>
  <c r="U353" i="5" s="1"/>
  <c r="T352" i="5"/>
  <c r="S352" i="5"/>
  <c r="Q352" i="5"/>
  <c r="M352" i="5"/>
  <c r="T351" i="5"/>
  <c r="S351" i="5"/>
  <c r="Q351" i="5"/>
  <c r="M351" i="5"/>
  <c r="T350" i="5"/>
  <c r="S350" i="5"/>
  <c r="Q350" i="5"/>
  <c r="U350" i="5" s="1"/>
  <c r="M350" i="5"/>
  <c r="T349" i="5"/>
  <c r="S349" i="5"/>
  <c r="R349" i="5"/>
  <c r="Q349" i="5"/>
  <c r="U349" i="5" s="1"/>
  <c r="V348" i="5"/>
  <c r="V347" i="5" s="1"/>
  <c r="V346" i="5" s="1"/>
  <c r="P348" i="5"/>
  <c r="P347" i="5" s="1"/>
  <c r="T345" i="5"/>
  <c r="S345" i="5"/>
  <c r="Q345" i="5"/>
  <c r="M345" i="5"/>
  <c r="T344" i="5"/>
  <c r="S344" i="5"/>
  <c r="Q344" i="5"/>
  <c r="U344" i="5" s="1"/>
  <c r="M344" i="5"/>
  <c r="T343" i="5"/>
  <c r="S343" i="5"/>
  <c r="Q343" i="5"/>
  <c r="U343" i="5" s="1"/>
  <c r="M343" i="5"/>
  <c r="T342" i="5"/>
  <c r="S342" i="5"/>
  <c r="Q342" i="5"/>
  <c r="U342" i="5" s="1"/>
  <c r="M342" i="5"/>
  <c r="U341" i="5"/>
  <c r="T341" i="5"/>
  <c r="S341" i="5"/>
  <c r="Q341" i="5"/>
  <c r="M341" i="5"/>
  <c r="T340" i="5"/>
  <c r="S340" i="5"/>
  <c r="Q340" i="5"/>
  <c r="U340" i="5" s="1"/>
  <c r="M340" i="5"/>
  <c r="T339" i="5"/>
  <c r="S339" i="5"/>
  <c r="Q339" i="5"/>
  <c r="M339" i="5"/>
  <c r="T338" i="5"/>
  <c r="S338" i="5"/>
  <c r="Q338" i="5"/>
  <c r="M338" i="5"/>
  <c r="T337" i="5"/>
  <c r="S337" i="5"/>
  <c r="R337" i="5"/>
  <c r="Q337" i="5"/>
  <c r="U337" i="5" s="1"/>
  <c r="T336" i="5"/>
  <c r="S336" i="5"/>
  <c r="Q336" i="5"/>
  <c r="U336" i="5" s="1"/>
  <c r="M336" i="5"/>
  <c r="T335" i="5"/>
  <c r="S335" i="5"/>
  <c r="Q335" i="5"/>
  <c r="M335" i="5"/>
  <c r="T334" i="5"/>
  <c r="S334" i="5"/>
  <c r="Q334" i="5"/>
  <c r="M334" i="5"/>
  <c r="T333" i="5"/>
  <c r="S333" i="5"/>
  <c r="Q333" i="5"/>
  <c r="M333" i="5"/>
  <c r="T332" i="5"/>
  <c r="S332" i="5"/>
  <c r="R332" i="5"/>
  <c r="Q332" i="5"/>
  <c r="U332" i="5" s="1"/>
  <c r="T331" i="5"/>
  <c r="S331" i="5"/>
  <c r="Q331" i="5"/>
  <c r="U331" i="5" s="1"/>
  <c r="M331" i="5"/>
  <c r="T330" i="5"/>
  <c r="S330" i="5"/>
  <c r="Q330" i="5"/>
  <c r="U330" i="5" s="1"/>
  <c r="M330" i="5"/>
  <c r="T329" i="5"/>
  <c r="S329" i="5"/>
  <c r="Q329" i="5"/>
  <c r="M329" i="5"/>
  <c r="T328" i="5"/>
  <c r="S328" i="5"/>
  <c r="Q328" i="5"/>
  <c r="U328" i="5" s="1"/>
  <c r="M328" i="5"/>
  <c r="T327" i="5"/>
  <c r="S327" i="5"/>
  <c r="R327" i="5"/>
  <c r="Q327" i="5"/>
  <c r="U327" i="5" s="1"/>
  <c r="V326" i="5"/>
  <c r="V325" i="5" s="1"/>
  <c r="V324" i="5" s="1"/>
  <c r="R326" i="5"/>
  <c r="R325" i="5"/>
  <c r="T323" i="5"/>
  <c r="T321" i="5" s="1"/>
  <c r="S323" i="5"/>
  <c r="Q323" i="5"/>
  <c r="U323" i="5" s="1"/>
  <c r="U321" i="5" s="1"/>
  <c r="M323" i="5"/>
  <c r="T322" i="5"/>
  <c r="S322" i="5"/>
  <c r="Q322" i="5"/>
  <c r="U322" i="5" s="1"/>
  <c r="M322" i="5"/>
  <c r="V321" i="5"/>
  <c r="R321" i="5"/>
  <c r="T320" i="5"/>
  <c r="S320" i="5"/>
  <c r="Q320" i="5"/>
  <c r="M320" i="5"/>
  <c r="T319" i="5"/>
  <c r="S319" i="5"/>
  <c r="R319" i="5"/>
  <c r="Q319" i="5"/>
  <c r="U319" i="5" s="1"/>
  <c r="T318" i="5"/>
  <c r="S318" i="5"/>
  <c r="Q318" i="5"/>
  <c r="U318" i="5" s="1"/>
  <c r="M318" i="5"/>
  <c r="T317" i="5"/>
  <c r="S317" i="5"/>
  <c r="Q317" i="5"/>
  <c r="M317" i="5"/>
  <c r="T316" i="5"/>
  <c r="S316" i="5"/>
  <c r="Q316" i="5"/>
  <c r="U316" i="5" s="1"/>
  <c r="M316" i="5"/>
  <c r="T315" i="5"/>
  <c r="S315" i="5"/>
  <c r="Q315" i="5"/>
  <c r="U315" i="5" s="1"/>
  <c r="M315" i="5"/>
  <c r="T314" i="5"/>
  <c r="S314" i="5"/>
  <c r="R314" i="5"/>
  <c r="Q314" i="5"/>
  <c r="U314" i="5" s="1"/>
  <c r="T313" i="5"/>
  <c r="S313" i="5"/>
  <c r="Q313" i="5"/>
  <c r="U313" i="5" s="1"/>
  <c r="M313" i="5"/>
  <c r="T312" i="5"/>
  <c r="S312" i="5"/>
  <c r="Q312" i="5"/>
  <c r="M312" i="5"/>
  <c r="T311" i="5"/>
  <c r="S311" i="5"/>
  <c r="R311" i="5"/>
  <c r="Q311" i="5"/>
  <c r="U311" i="5" s="1"/>
  <c r="T310" i="5"/>
  <c r="S310" i="5"/>
  <c r="Q310" i="5"/>
  <c r="U310" i="5" s="1"/>
  <c r="M310" i="5"/>
  <c r="T309" i="5"/>
  <c r="T308" i="5" s="1"/>
  <c r="S309" i="5"/>
  <c r="Q309" i="5"/>
  <c r="M309" i="5"/>
  <c r="V308" i="5"/>
  <c r="V307" i="5" s="1"/>
  <c r="R308" i="5"/>
  <c r="R307" i="5"/>
  <c r="O307" i="5"/>
  <c r="O306" i="5" s="1"/>
  <c r="R306" i="5"/>
  <c r="T304" i="5"/>
  <c r="T303" i="5" s="1"/>
  <c r="S304" i="5"/>
  <c r="Q304" i="5"/>
  <c r="U304" i="5" s="1"/>
  <c r="U303" i="5" s="1"/>
  <c r="M304" i="5"/>
  <c r="V303" i="5"/>
  <c r="V300" i="5" s="1"/>
  <c r="V299" i="5" s="1"/>
  <c r="V298" i="5" s="1"/>
  <c r="R303" i="5"/>
  <c r="T302" i="5"/>
  <c r="S302" i="5"/>
  <c r="Q302" i="5"/>
  <c r="M302" i="5"/>
  <c r="T301" i="5"/>
  <c r="S301" i="5"/>
  <c r="Q301" i="5"/>
  <c r="U301" i="5" s="1"/>
  <c r="M301" i="5"/>
  <c r="R300" i="5"/>
  <c r="R299" i="5"/>
  <c r="T297" i="5"/>
  <c r="S297" i="5"/>
  <c r="Q297" i="5"/>
  <c r="U297" i="5" s="1"/>
  <c r="M297" i="5"/>
  <c r="T296" i="5"/>
  <c r="S296" i="5"/>
  <c r="R296" i="5"/>
  <c r="Q296" i="5"/>
  <c r="U296" i="5" s="1"/>
  <c r="T295" i="5"/>
  <c r="S295" i="5"/>
  <c r="Q295" i="5"/>
  <c r="U295" i="5" s="1"/>
  <c r="M295" i="5"/>
  <c r="T294" i="5"/>
  <c r="S294" i="5"/>
  <c r="Q294" i="5"/>
  <c r="U294" i="5" s="1"/>
  <c r="M294" i="5"/>
  <c r="T293" i="5"/>
  <c r="S293" i="5"/>
  <c r="R293" i="5"/>
  <c r="Q293" i="5"/>
  <c r="U293" i="5" s="1"/>
  <c r="T292" i="5"/>
  <c r="S292" i="5"/>
  <c r="Q292" i="5"/>
  <c r="U292" i="5" s="1"/>
  <c r="M292" i="5"/>
  <c r="T291" i="5"/>
  <c r="S291" i="5"/>
  <c r="R291" i="5"/>
  <c r="Q291" i="5"/>
  <c r="U291" i="5" s="1"/>
  <c r="T290" i="5"/>
  <c r="S290" i="5"/>
  <c r="Q290" i="5"/>
  <c r="M290" i="5"/>
  <c r="T289" i="5"/>
  <c r="S289" i="5"/>
  <c r="R289" i="5"/>
  <c r="Q289" i="5"/>
  <c r="U289" i="5" s="1"/>
  <c r="V288" i="5"/>
  <c r="V287" i="5" s="1"/>
  <c r="V286" i="5" s="1"/>
  <c r="R288" i="5"/>
  <c r="R287" i="5"/>
  <c r="T284" i="5"/>
  <c r="S284" i="5"/>
  <c r="Q284" i="5"/>
  <c r="U284" i="5" s="1"/>
  <c r="M284" i="5"/>
  <c r="T282" i="5"/>
  <c r="S282" i="5"/>
  <c r="Q282" i="5"/>
  <c r="M282" i="5"/>
  <c r="T280" i="5"/>
  <c r="S280" i="5"/>
  <c r="Q280" i="5"/>
  <c r="U280" i="5" s="1"/>
  <c r="M280" i="5"/>
  <c r="P278" i="5"/>
  <c r="P277" i="5" s="1"/>
  <c r="T275" i="5"/>
  <c r="S275" i="5"/>
  <c r="Q275" i="5"/>
  <c r="M275" i="5"/>
  <c r="T274" i="5"/>
  <c r="S274" i="5"/>
  <c r="Q274" i="5"/>
  <c r="U274" i="5" s="1"/>
  <c r="M274" i="5"/>
  <c r="T272" i="5"/>
  <c r="S272" i="5"/>
  <c r="Q272" i="5"/>
  <c r="U272" i="5" s="1"/>
  <c r="M272" i="5"/>
  <c r="V270" i="5"/>
  <c r="T269" i="5"/>
  <c r="S269" i="5"/>
  <c r="Q269" i="5"/>
  <c r="U269" i="5" s="1"/>
  <c r="M269" i="5"/>
  <c r="T268" i="5"/>
  <c r="S268" i="5"/>
  <c r="Q268" i="5"/>
  <c r="U268" i="5" s="1"/>
  <c r="M268" i="5"/>
  <c r="T267" i="5"/>
  <c r="S267" i="5"/>
  <c r="R267" i="5"/>
  <c r="Q267" i="5"/>
  <c r="U267" i="5" s="1"/>
  <c r="T266" i="5"/>
  <c r="S266" i="5"/>
  <c r="Q266" i="5"/>
  <c r="M266" i="5"/>
  <c r="T265" i="5"/>
  <c r="S265" i="5"/>
  <c r="Q265" i="5"/>
  <c r="U265" i="5" s="1"/>
  <c r="M265" i="5"/>
  <c r="R264" i="5"/>
  <c r="T263" i="5"/>
  <c r="S263" i="5"/>
  <c r="Q263" i="5"/>
  <c r="M263" i="5"/>
  <c r="T262" i="5"/>
  <c r="S262" i="5"/>
  <c r="R262" i="5"/>
  <c r="T261" i="5"/>
  <c r="S261" i="5"/>
  <c r="Q261" i="5"/>
  <c r="U261" i="5" s="1"/>
  <c r="M261" i="5"/>
  <c r="T260" i="5"/>
  <c r="S260" i="5"/>
  <c r="Q260" i="5"/>
  <c r="U260" i="5" s="1"/>
  <c r="M260" i="5"/>
  <c r="T259" i="5"/>
  <c r="S259" i="5"/>
  <c r="Q259" i="5"/>
  <c r="M259" i="5"/>
  <c r="T258" i="5"/>
  <c r="S258" i="5"/>
  <c r="Q258" i="5"/>
  <c r="M258" i="5"/>
  <c r="T257" i="5"/>
  <c r="S257" i="5"/>
  <c r="N257" i="5"/>
  <c r="Q257" i="5" s="1"/>
  <c r="U257" i="5" s="1"/>
  <c r="M257" i="5"/>
  <c r="T256" i="5"/>
  <c r="S256" i="5"/>
  <c r="Q256" i="5"/>
  <c r="U256" i="5" s="1"/>
  <c r="M256" i="5"/>
  <c r="T255" i="5"/>
  <c r="S255" i="5"/>
  <c r="Q255" i="5"/>
  <c r="M255" i="5"/>
  <c r="T254" i="5"/>
  <c r="S254" i="5"/>
  <c r="R254" i="5"/>
  <c r="Q254" i="5"/>
  <c r="U254" i="5" s="1"/>
  <c r="T253" i="5"/>
  <c r="S253" i="5"/>
  <c r="Q253" i="5"/>
  <c r="U253" i="5" s="1"/>
  <c r="M253" i="5"/>
  <c r="T252" i="5"/>
  <c r="S252" i="5"/>
  <c r="Q252" i="5"/>
  <c r="M252" i="5"/>
  <c r="T251" i="5"/>
  <c r="S251" i="5"/>
  <c r="Q251" i="5"/>
  <c r="U251" i="5" s="1"/>
  <c r="M251" i="5"/>
  <c r="T250" i="5"/>
  <c r="S250" i="5"/>
  <c r="Q250" i="5"/>
  <c r="U250" i="5" s="1"/>
  <c r="M250" i="5"/>
  <c r="T249" i="5"/>
  <c r="S249" i="5"/>
  <c r="Q249" i="5"/>
  <c r="U249" i="5" s="1"/>
  <c r="M249" i="5"/>
  <c r="T248" i="5"/>
  <c r="S248" i="5"/>
  <c r="Q248" i="5"/>
  <c r="U248" i="5" s="1"/>
  <c r="M248" i="5"/>
  <c r="T247" i="5"/>
  <c r="S247" i="5"/>
  <c r="R247" i="5"/>
  <c r="Q247" i="5"/>
  <c r="U247" i="5" s="1"/>
  <c r="T246" i="5"/>
  <c r="S246" i="5"/>
  <c r="Q246" i="5"/>
  <c r="M246" i="5"/>
  <c r="T245" i="5"/>
  <c r="S245" i="5"/>
  <c r="Q245" i="5"/>
  <c r="M245" i="5"/>
  <c r="T244" i="5"/>
  <c r="S244" i="5"/>
  <c r="Q244" i="5"/>
  <c r="U244" i="5" s="1"/>
  <c r="M244" i="5"/>
  <c r="T243" i="5"/>
  <c r="S243" i="5"/>
  <c r="R243" i="5"/>
  <c r="Q243" i="5"/>
  <c r="U243" i="5" s="1"/>
  <c r="V242" i="5"/>
  <c r="O242" i="5"/>
  <c r="T238" i="5"/>
  <c r="S238" i="5"/>
  <c r="P238" i="5"/>
  <c r="Q238" i="5" s="1"/>
  <c r="M238" i="5"/>
  <c r="T237" i="5"/>
  <c r="S237" i="5"/>
  <c r="P237" i="5"/>
  <c r="M237" i="5"/>
  <c r="O235" i="5"/>
  <c r="O234" i="5" s="1"/>
  <c r="N235" i="5"/>
  <c r="N234" i="5" s="1"/>
  <c r="T232" i="5"/>
  <c r="T230" i="5" s="1"/>
  <c r="S232" i="5"/>
  <c r="S230" i="5" s="1"/>
  <c r="Q232" i="5"/>
  <c r="M232" i="5"/>
  <c r="M230" i="5" s="1"/>
  <c r="R231" i="5"/>
  <c r="V230" i="5"/>
  <c r="T229" i="5"/>
  <c r="T228" i="5" s="1"/>
  <c r="S229" i="5"/>
  <c r="S228" i="5" s="1"/>
  <c r="Q229" i="5"/>
  <c r="Q227" i="5" s="1"/>
  <c r="M229" i="5"/>
  <c r="M227" i="5" s="1"/>
  <c r="V228" i="5"/>
  <c r="R228" i="5"/>
  <c r="V227" i="5"/>
  <c r="T225" i="5"/>
  <c r="S225" i="5"/>
  <c r="Q225" i="5"/>
  <c r="U225" i="5" s="1"/>
  <c r="M225" i="5"/>
  <c r="T222" i="5"/>
  <c r="S222" i="5"/>
  <c r="Q222" i="5"/>
  <c r="M222" i="5"/>
  <c r="T219" i="5"/>
  <c r="S219" i="5"/>
  <c r="Q219" i="5"/>
  <c r="U219" i="5" s="1"/>
  <c r="M219" i="5"/>
  <c r="T218" i="5"/>
  <c r="S218" i="5"/>
  <c r="Q218" i="5"/>
  <c r="U218" i="5" s="1"/>
  <c r="M218" i="5"/>
  <c r="R217" i="5"/>
  <c r="T216" i="5"/>
  <c r="S216" i="5"/>
  <c r="Q216" i="5"/>
  <c r="U216" i="5" s="1"/>
  <c r="M216" i="5"/>
  <c r="T215" i="5"/>
  <c r="S215" i="5"/>
  <c r="Q215" i="5"/>
  <c r="U215" i="5" s="1"/>
  <c r="M215" i="5"/>
  <c r="T214" i="5"/>
  <c r="S214" i="5"/>
  <c r="Q214" i="5"/>
  <c r="U214" i="5" s="1"/>
  <c r="M214" i="5"/>
  <c r="R213" i="5"/>
  <c r="R212" i="5"/>
  <c r="R211" i="5"/>
  <c r="T210" i="5"/>
  <c r="T208" i="5" s="1"/>
  <c r="S210" i="5"/>
  <c r="S208" i="5" s="1"/>
  <c r="Q210" i="5"/>
  <c r="Q208" i="5" s="1"/>
  <c r="M210" i="5"/>
  <c r="M208" i="5" s="1"/>
  <c r="T209" i="5"/>
  <c r="S209" i="5"/>
  <c r="R209" i="5"/>
  <c r="Q209" i="5"/>
  <c r="U209" i="5" s="1"/>
  <c r="V208" i="5"/>
  <c r="R208" i="5"/>
  <c r="T206" i="5"/>
  <c r="S206" i="5"/>
  <c r="Q206" i="5"/>
  <c r="M206" i="5"/>
  <c r="T205" i="5"/>
  <c r="S205" i="5"/>
  <c r="Q205" i="5"/>
  <c r="M205" i="5"/>
  <c r="R204" i="5"/>
  <c r="R203" i="5"/>
  <c r="T201" i="5"/>
  <c r="S201" i="5"/>
  <c r="Q201" i="5"/>
  <c r="U201" i="5" s="1"/>
  <c r="M201" i="5"/>
  <c r="T200" i="5"/>
  <c r="S200" i="5"/>
  <c r="R200" i="5"/>
  <c r="Q200" i="5"/>
  <c r="U200" i="5" s="1"/>
  <c r="R199" i="5"/>
  <c r="T198" i="5"/>
  <c r="T196" i="5" s="1"/>
  <c r="S198" i="5"/>
  <c r="S196" i="5" s="1"/>
  <c r="P198" i="5"/>
  <c r="Q198" i="5" s="1"/>
  <c r="M198" i="5"/>
  <c r="M196" i="5" s="1"/>
  <c r="V196" i="5"/>
  <c r="V195" i="5" s="1"/>
  <c r="V194" i="5" s="1"/>
  <c r="R196" i="5"/>
  <c r="O196" i="5"/>
  <c r="O195" i="5" s="1"/>
  <c r="R195" i="5"/>
  <c r="T192" i="5"/>
  <c r="S192" i="5"/>
  <c r="Q192" i="5"/>
  <c r="U192" i="5" s="1"/>
  <c r="M192" i="5"/>
  <c r="M190" i="5" s="1"/>
  <c r="U191" i="5"/>
  <c r="T191" i="5"/>
  <c r="S191" i="5"/>
  <c r="R191" i="5"/>
  <c r="V190" i="5"/>
  <c r="V180" i="5" s="1"/>
  <c r="R190" i="5"/>
  <c r="T189" i="5"/>
  <c r="S189" i="5"/>
  <c r="Q189" i="5"/>
  <c r="U189" i="5" s="1"/>
  <c r="M189" i="5"/>
  <c r="T188" i="5"/>
  <c r="S188" i="5"/>
  <c r="Q188" i="5"/>
  <c r="U188" i="5" s="1"/>
  <c r="M188" i="5"/>
  <c r="T187" i="5"/>
  <c r="S187" i="5"/>
  <c r="Q187" i="5"/>
  <c r="U187" i="5" s="1"/>
  <c r="M187" i="5"/>
  <c r="T186" i="5"/>
  <c r="S186" i="5"/>
  <c r="Q186" i="5"/>
  <c r="U186" i="5" s="1"/>
  <c r="M186" i="5"/>
  <c r="T185" i="5"/>
  <c r="S185" i="5"/>
  <c r="Q185" i="5"/>
  <c r="M185" i="5"/>
  <c r="T184" i="5"/>
  <c r="S184" i="5"/>
  <c r="Q184" i="5"/>
  <c r="M184" i="5"/>
  <c r="T183" i="5"/>
  <c r="S183" i="5"/>
  <c r="Q183" i="5"/>
  <c r="U183" i="5" s="1"/>
  <c r="M183" i="5"/>
  <c r="T182" i="5"/>
  <c r="S182" i="5"/>
  <c r="Q182" i="5"/>
  <c r="M182" i="5"/>
  <c r="T181" i="5"/>
  <c r="S181" i="5"/>
  <c r="Q181" i="5"/>
  <c r="M181" i="5"/>
  <c r="R180" i="5"/>
  <c r="T179" i="5"/>
  <c r="S179" i="5"/>
  <c r="Q179" i="5"/>
  <c r="U179" i="5" s="1"/>
  <c r="M179" i="5"/>
  <c r="T178" i="5"/>
  <c r="S178" i="5"/>
  <c r="Q178" i="5"/>
  <c r="U178" i="5" s="1"/>
  <c r="M178" i="5"/>
  <c r="T177" i="5"/>
  <c r="S177" i="5"/>
  <c r="Q177" i="5"/>
  <c r="M177" i="5"/>
  <c r="U176" i="5"/>
  <c r="T176" i="5"/>
  <c r="S176" i="5"/>
  <c r="R176" i="5"/>
  <c r="T175" i="5"/>
  <c r="S175" i="5"/>
  <c r="R175" i="5"/>
  <c r="T174" i="5"/>
  <c r="S174" i="5"/>
  <c r="Q174" i="5"/>
  <c r="U174" i="5" s="1"/>
  <c r="M174" i="5"/>
  <c r="T173" i="5"/>
  <c r="S173" i="5"/>
  <c r="Q173" i="5"/>
  <c r="U173" i="5" s="1"/>
  <c r="M173" i="5"/>
  <c r="T172" i="5"/>
  <c r="S172" i="5"/>
  <c r="Q172" i="5"/>
  <c r="M172" i="5"/>
  <c r="T171" i="5"/>
  <c r="S171" i="5"/>
  <c r="Q171" i="5"/>
  <c r="U171" i="5" s="1"/>
  <c r="M171" i="5"/>
  <c r="T170" i="5"/>
  <c r="S170" i="5"/>
  <c r="Q170" i="5"/>
  <c r="U170" i="5" s="1"/>
  <c r="M170" i="5"/>
  <c r="T169" i="5"/>
  <c r="S169" i="5"/>
  <c r="Q169" i="5"/>
  <c r="U169" i="5" s="1"/>
  <c r="M169" i="5"/>
  <c r="T168" i="5"/>
  <c r="S168" i="5"/>
  <c r="N168" i="5"/>
  <c r="Q168" i="5" s="1"/>
  <c r="U168" i="5" s="1"/>
  <c r="M168" i="5"/>
  <c r="T167" i="5"/>
  <c r="S167" i="5"/>
  <c r="R167" i="5"/>
  <c r="Q167" i="5"/>
  <c r="U167" i="5" s="1"/>
  <c r="T166" i="5"/>
  <c r="S166" i="5"/>
  <c r="Q166" i="5"/>
  <c r="U166" i="5" s="1"/>
  <c r="M166" i="5"/>
  <c r="T165" i="5"/>
  <c r="S165" i="5"/>
  <c r="Q165" i="5"/>
  <c r="U165" i="5" s="1"/>
  <c r="M165" i="5"/>
  <c r="T164" i="5"/>
  <c r="S164" i="5"/>
  <c r="P164" i="5"/>
  <c r="Q164" i="5" s="1"/>
  <c r="U164" i="5" s="1"/>
  <c r="M164" i="5"/>
  <c r="T163" i="5"/>
  <c r="S163" i="5"/>
  <c r="R163" i="5"/>
  <c r="Q163" i="5"/>
  <c r="U163" i="5" s="1"/>
  <c r="T162" i="5"/>
  <c r="S162" i="5"/>
  <c r="Q162" i="5"/>
  <c r="U162" i="5" s="1"/>
  <c r="M162" i="5"/>
  <c r="T161" i="5"/>
  <c r="S161" i="5"/>
  <c r="Q161" i="5"/>
  <c r="U161" i="5" s="1"/>
  <c r="M161" i="5"/>
  <c r="T160" i="5"/>
  <c r="S160" i="5"/>
  <c r="P160" i="5"/>
  <c r="Q160" i="5" s="1"/>
  <c r="M160" i="5"/>
  <c r="T159" i="5"/>
  <c r="S159" i="5"/>
  <c r="R159" i="5"/>
  <c r="Q159" i="5"/>
  <c r="V158" i="5"/>
  <c r="R158" i="5"/>
  <c r="R157" i="5"/>
  <c r="T155" i="5"/>
  <c r="S155" i="5"/>
  <c r="N155" i="5"/>
  <c r="Q155" i="5" s="1"/>
  <c r="M155" i="5"/>
  <c r="T154" i="5"/>
  <c r="S154" i="5"/>
  <c r="N154" i="5"/>
  <c r="Q154" i="5" s="1"/>
  <c r="M154" i="5"/>
  <c r="V153" i="5"/>
  <c r="R153" i="5"/>
  <c r="T152" i="5"/>
  <c r="T151" i="5" s="1"/>
  <c r="S152" i="5"/>
  <c r="S151" i="5" s="1"/>
  <c r="Q152" i="5"/>
  <c r="Q151" i="5" s="1"/>
  <c r="M152" i="5"/>
  <c r="V151" i="5"/>
  <c r="R151" i="5"/>
  <c r="R150" i="5"/>
  <c r="T148" i="5"/>
  <c r="S148" i="5"/>
  <c r="Q148" i="5"/>
  <c r="N148" i="5"/>
  <c r="M148" i="5"/>
  <c r="M147" i="5" s="1"/>
  <c r="T147" i="5"/>
  <c r="S147" i="5"/>
  <c r="R147" i="5"/>
  <c r="T146" i="5"/>
  <c r="S146" i="5"/>
  <c r="N146" i="5"/>
  <c r="Q146" i="5" s="1"/>
  <c r="M146" i="5"/>
  <c r="T145" i="5"/>
  <c r="S145" i="5"/>
  <c r="N145" i="5"/>
  <c r="Q145" i="5" s="1"/>
  <c r="U145" i="5" s="1"/>
  <c r="M145" i="5"/>
  <c r="V144" i="5"/>
  <c r="V141" i="5" s="1"/>
  <c r="V140" i="5" s="1"/>
  <c r="V139" i="5" s="1"/>
  <c r="T143" i="5"/>
  <c r="S143" i="5"/>
  <c r="Q143" i="5"/>
  <c r="U143" i="5" s="1"/>
  <c r="M143" i="5"/>
  <c r="T142" i="5"/>
  <c r="S142" i="5"/>
  <c r="Q142" i="5"/>
  <c r="P142" i="5"/>
  <c r="M142" i="5"/>
  <c r="R141" i="5"/>
  <c r="U138" i="5"/>
  <c r="T138" i="5"/>
  <c r="S138" i="5"/>
  <c r="N138" i="5"/>
  <c r="M138" i="5"/>
  <c r="R138" i="5" s="1"/>
  <c r="T137" i="5"/>
  <c r="S137" i="5"/>
  <c r="Q137" i="5"/>
  <c r="M137" i="5"/>
  <c r="U136" i="5"/>
  <c r="T136" i="5"/>
  <c r="S136" i="5"/>
  <c r="M136" i="5"/>
  <c r="R136" i="5" s="1"/>
  <c r="V134" i="5"/>
  <c r="V133" i="5" s="1"/>
  <c r="V132" i="5" s="1"/>
  <c r="T131" i="5"/>
  <c r="S131" i="5"/>
  <c r="P131" i="5"/>
  <c r="Q131" i="5" s="1"/>
  <c r="U131" i="5" s="1"/>
  <c r="M131" i="5"/>
  <c r="T130" i="5"/>
  <c r="S130" i="5"/>
  <c r="Q130" i="5"/>
  <c r="M130" i="5"/>
  <c r="T129" i="5"/>
  <c r="S129" i="5"/>
  <c r="P129" i="5"/>
  <c r="Q129" i="5" s="1"/>
  <c r="U129" i="5" s="1"/>
  <c r="M129" i="5"/>
  <c r="T128" i="5"/>
  <c r="S128" i="5"/>
  <c r="R128" i="5"/>
  <c r="Q128" i="5"/>
  <c r="U128" i="5" s="1"/>
  <c r="T127" i="5"/>
  <c r="S127" i="5"/>
  <c r="Q127" i="5"/>
  <c r="M127" i="5"/>
  <c r="T126" i="5"/>
  <c r="S126" i="5"/>
  <c r="Q126" i="5"/>
  <c r="U126" i="5" s="1"/>
  <c r="M126" i="5"/>
  <c r="V125" i="5"/>
  <c r="T124" i="5"/>
  <c r="S124" i="5"/>
  <c r="Q124" i="5"/>
  <c r="U124" i="5" s="1"/>
  <c r="M124" i="5"/>
  <c r="T123" i="5"/>
  <c r="S123" i="5"/>
  <c r="Q123" i="5"/>
  <c r="U123" i="5" s="1"/>
  <c r="M123" i="5"/>
  <c r="T122" i="5"/>
  <c r="S122" i="5"/>
  <c r="Q122" i="5"/>
  <c r="U122" i="5" s="1"/>
  <c r="M122" i="5"/>
  <c r="M121" i="5"/>
  <c r="U120" i="5"/>
  <c r="T120" i="5"/>
  <c r="S120" i="5"/>
  <c r="M120" i="5"/>
  <c r="T119" i="5"/>
  <c r="S119" i="5"/>
  <c r="Q119" i="5"/>
  <c r="U119" i="5" s="1"/>
  <c r="M119" i="5"/>
  <c r="T118" i="5"/>
  <c r="S118" i="5"/>
  <c r="Q118" i="5"/>
  <c r="U118" i="5" s="1"/>
  <c r="M118" i="5"/>
  <c r="T117" i="5"/>
  <c r="S117" i="5"/>
  <c r="Q117" i="5"/>
  <c r="M117" i="5"/>
  <c r="T116" i="5"/>
  <c r="S116" i="5"/>
  <c r="R116" i="5"/>
  <c r="Q116" i="5"/>
  <c r="U116" i="5" s="1"/>
  <c r="V115" i="5"/>
  <c r="R115" i="5"/>
  <c r="T114" i="5"/>
  <c r="S114" i="5"/>
  <c r="Q114" i="5"/>
  <c r="U114" i="5" s="1"/>
  <c r="M114" i="5"/>
  <c r="T113" i="5"/>
  <c r="S113" i="5"/>
  <c r="N113" i="5"/>
  <c r="Q113" i="5" s="1"/>
  <c r="U113" i="5" s="1"/>
  <c r="M113" i="5"/>
  <c r="T112" i="5"/>
  <c r="S112" i="5"/>
  <c r="R112" i="5"/>
  <c r="Q112" i="5"/>
  <c r="U112" i="5" s="1"/>
  <c r="T111" i="5"/>
  <c r="S111" i="5"/>
  <c r="Q111" i="5"/>
  <c r="M111" i="5"/>
  <c r="T110" i="5"/>
  <c r="S110" i="5"/>
  <c r="Q110" i="5"/>
  <c r="M110" i="5"/>
  <c r="V108" i="5"/>
  <c r="R108" i="5"/>
  <c r="T107" i="5"/>
  <c r="S107" i="5"/>
  <c r="Q107" i="5"/>
  <c r="U107" i="5" s="1"/>
  <c r="M107" i="5"/>
  <c r="T106" i="5"/>
  <c r="S106" i="5"/>
  <c r="Q106" i="5"/>
  <c r="U106" i="5" s="1"/>
  <c r="M106" i="5"/>
  <c r="T104" i="5"/>
  <c r="S104" i="5"/>
  <c r="Q104" i="5"/>
  <c r="U104" i="5" s="1"/>
  <c r="M104" i="5"/>
  <c r="T102" i="5"/>
  <c r="S102" i="5"/>
  <c r="Q102" i="5"/>
  <c r="U102" i="5" s="1"/>
  <c r="M102" i="5"/>
  <c r="T101" i="5"/>
  <c r="S101" i="5"/>
  <c r="Q101" i="5"/>
  <c r="M101" i="5"/>
  <c r="T100" i="5"/>
  <c r="S100" i="5"/>
  <c r="Q100" i="5"/>
  <c r="U100" i="5" s="1"/>
  <c r="M100" i="5"/>
  <c r="T98" i="5"/>
  <c r="S98" i="5"/>
  <c r="Q98" i="5"/>
  <c r="U98" i="5" s="1"/>
  <c r="M98" i="5"/>
  <c r="T97" i="5"/>
  <c r="S97" i="5"/>
  <c r="R97" i="5"/>
  <c r="Q97" i="5"/>
  <c r="U97" i="5" s="1"/>
  <c r="T96" i="5"/>
  <c r="S96" i="5"/>
  <c r="Q96" i="5"/>
  <c r="M96" i="5"/>
  <c r="T95" i="5"/>
  <c r="S95" i="5"/>
  <c r="Q95" i="5"/>
  <c r="U95" i="5" s="1"/>
  <c r="M95" i="5"/>
  <c r="T94" i="5"/>
  <c r="S94" i="5"/>
  <c r="Q94" i="5"/>
  <c r="M94" i="5"/>
  <c r="T93" i="5"/>
  <c r="S93" i="5"/>
  <c r="R93" i="5"/>
  <c r="Q93" i="5"/>
  <c r="U93" i="5" s="1"/>
  <c r="T92" i="5"/>
  <c r="S92" i="5"/>
  <c r="Q92" i="5"/>
  <c r="U92" i="5" s="1"/>
  <c r="M92" i="5"/>
  <c r="T91" i="5"/>
  <c r="S91" i="5"/>
  <c r="Q91" i="5"/>
  <c r="M91" i="5"/>
  <c r="T89" i="5"/>
  <c r="S89" i="5"/>
  <c r="Q89" i="5"/>
  <c r="U89" i="5" s="1"/>
  <c r="M89" i="5"/>
  <c r="T88" i="5"/>
  <c r="S88" i="5"/>
  <c r="N88" i="5"/>
  <c r="Q88" i="5" s="1"/>
  <c r="U88" i="5" s="1"/>
  <c r="M88" i="5"/>
  <c r="T87" i="5"/>
  <c r="S87" i="5"/>
  <c r="Q87" i="5"/>
  <c r="U87" i="5" s="1"/>
  <c r="M87" i="5"/>
  <c r="T86" i="5"/>
  <c r="S86" i="5"/>
  <c r="Q86" i="5"/>
  <c r="U86" i="5" s="1"/>
  <c r="M86" i="5"/>
  <c r="T85" i="5"/>
  <c r="S85" i="5"/>
  <c r="Q85" i="5"/>
  <c r="M85" i="5"/>
  <c r="T84" i="5"/>
  <c r="S84" i="5"/>
  <c r="Q84" i="5"/>
  <c r="M84" i="5"/>
  <c r="V82" i="5"/>
  <c r="T79" i="5"/>
  <c r="S79" i="5"/>
  <c r="Q79" i="5"/>
  <c r="U79" i="5" s="1"/>
  <c r="N79" i="5"/>
  <c r="M79" i="5"/>
  <c r="T78" i="5"/>
  <c r="S78" i="5"/>
  <c r="Q78" i="5"/>
  <c r="U78" i="5" s="1"/>
  <c r="N78" i="5"/>
  <c r="M78" i="5"/>
  <c r="T77" i="5"/>
  <c r="S77" i="5"/>
  <c r="N77" i="5"/>
  <c r="Q77" i="5" s="1"/>
  <c r="U77" i="5" s="1"/>
  <c r="M77" i="5"/>
  <c r="T76" i="5"/>
  <c r="S76" i="5"/>
  <c r="N76" i="5"/>
  <c r="Q76" i="5" s="1"/>
  <c r="M76" i="5"/>
  <c r="T75" i="5"/>
  <c r="S75" i="5"/>
  <c r="Q75" i="5"/>
  <c r="U75" i="5" s="1"/>
  <c r="M75" i="5"/>
  <c r="T74" i="5"/>
  <c r="S74" i="5"/>
  <c r="Q74" i="5"/>
  <c r="M74" i="5"/>
  <c r="T73" i="5"/>
  <c r="S73" i="5"/>
  <c r="Q73" i="5"/>
  <c r="U73" i="5" s="1"/>
  <c r="M73" i="5"/>
  <c r="T72" i="5"/>
  <c r="S72" i="5"/>
  <c r="Q72" i="5"/>
  <c r="U72" i="5" s="1"/>
  <c r="M72" i="5"/>
  <c r="T71" i="5"/>
  <c r="S71" i="5"/>
  <c r="N71" i="5"/>
  <c r="Q71" i="5" s="1"/>
  <c r="M71" i="5"/>
  <c r="T70" i="5"/>
  <c r="S70" i="5"/>
  <c r="N70" i="5"/>
  <c r="Q70" i="5" s="1"/>
  <c r="M70" i="5"/>
  <c r="T69" i="5"/>
  <c r="S69" i="5"/>
  <c r="N69" i="5"/>
  <c r="Q69" i="5" s="1"/>
  <c r="U69" i="5" s="1"/>
  <c r="M69" i="5"/>
  <c r="T68" i="5"/>
  <c r="S68" i="5"/>
  <c r="N68" i="5"/>
  <c r="Q68" i="5" s="1"/>
  <c r="U68" i="5" s="1"/>
  <c r="M68" i="5"/>
  <c r="T67" i="5"/>
  <c r="S67" i="5"/>
  <c r="N67" i="5"/>
  <c r="Q67" i="5" s="1"/>
  <c r="M67" i="5"/>
  <c r="T66" i="5"/>
  <c r="S66" i="5"/>
  <c r="Q66" i="5"/>
  <c r="N66" i="5"/>
  <c r="M66" i="5"/>
  <c r="T65" i="5"/>
  <c r="S65" i="5"/>
  <c r="N65" i="5"/>
  <c r="Q65" i="5" s="1"/>
  <c r="U65" i="5" s="1"/>
  <c r="M65" i="5"/>
  <c r="T64" i="5"/>
  <c r="S64" i="5"/>
  <c r="N64" i="5"/>
  <c r="Q64" i="5" s="1"/>
  <c r="U64" i="5" s="1"/>
  <c r="M64" i="5"/>
  <c r="T63" i="5"/>
  <c r="S63" i="5"/>
  <c r="Q63" i="5"/>
  <c r="U63" i="5" s="1"/>
  <c r="M63" i="5"/>
  <c r="T62" i="5"/>
  <c r="S62" i="5"/>
  <c r="Q62" i="5"/>
  <c r="U62" i="5" s="1"/>
  <c r="M62" i="5"/>
  <c r="T61" i="5"/>
  <c r="S61" i="5"/>
  <c r="Q61" i="5"/>
  <c r="M61" i="5"/>
  <c r="T60" i="5"/>
  <c r="S60" i="5"/>
  <c r="Q60" i="5"/>
  <c r="M60" i="5"/>
  <c r="R59" i="5"/>
  <c r="T58" i="5"/>
  <c r="S58" i="5"/>
  <c r="Q58" i="5"/>
  <c r="U58" i="5" s="1"/>
  <c r="M58" i="5"/>
  <c r="T57" i="5"/>
  <c r="S57" i="5"/>
  <c r="Q57" i="5"/>
  <c r="U57" i="5" s="1"/>
  <c r="M57" i="5"/>
  <c r="V55" i="5"/>
  <c r="V54" i="5" s="1"/>
  <c r="V53" i="5" s="1"/>
  <c r="T52" i="5"/>
  <c r="S52" i="5"/>
  <c r="Q52" i="5"/>
  <c r="U52" i="5" s="1"/>
  <c r="M52" i="5"/>
  <c r="T51" i="5"/>
  <c r="S51" i="5"/>
  <c r="Q51" i="5"/>
  <c r="U51" i="5" s="1"/>
  <c r="M51" i="5"/>
  <c r="T50" i="5"/>
  <c r="S50" i="5"/>
  <c r="Q50" i="5"/>
  <c r="U50" i="5" s="1"/>
  <c r="M50" i="5"/>
  <c r="T49" i="5"/>
  <c r="S49" i="5"/>
  <c r="Q49" i="5"/>
  <c r="U49" i="5" s="1"/>
  <c r="M49" i="5"/>
  <c r="T48" i="5"/>
  <c r="S48" i="5"/>
  <c r="Q48" i="5"/>
  <c r="U48" i="5" s="1"/>
  <c r="M48" i="5"/>
  <c r="U47" i="5"/>
  <c r="T47" i="5"/>
  <c r="S47" i="5"/>
  <c r="R47" i="5"/>
  <c r="T46" i="5"/>
  <c r="S46" i="5"/>
  <c r="Q46" i="5"/>
  <c r="M46" i="5"/>
  <c r="U45" i="5"/>
  <c r="T45" i="5"/>
  <c r="S45" i="5"/>
  <c r="M45" i="5"/>
  <c r="R45" i="5" s="1"/>
  <c r="T44" i="5"/>
  <c r="S44" i="5"/>
  <c r="Q44" i="5"/>
  <c r="U44" i="5" s="1"/>
  <c r="M44" i="5"/>
  <c r="T43" i="5"/>
  <c r="S43" i="5"/>
  <c r="Q43" i="5"/>
  <c r="U43" i="5" s="1"/>
  <c r="M43" i="5"/>
  <c r="T42" i="5"/>
  <c r="S42" i="5"/>
  <c r="Q42" i="5"/>
  <c r="U42" i="5" s="1"/>
  <c r="M42" i="5"/>
  <c r="T41" i="5"/>
  <c r="S41" i="5"/>
  <c r="Q41" i="5"/>
  <c r="U41" i="5" s="1"/>
  <c r="M41" i="5"/>
  <c r="T40" i="5"/>
  <c r="S40" i="5"/>
  <c r="Q40" i="5"/>
  <c r="M40" i="5"/>
  <c r="T39" i="5"/>
  <c r="S39" i="5"/>
  <c r="Q39" i="5"/>
  <c r="M39" i="5"/>
  <c r="T38" i="5"/>
  <c r="S38" i="5"/>
  <c r="Q38" i="5"/>
  <c r="U38" i="5" s="1"/>
  <c r="M38" i="5"/>
  <c r="T37" i="5"/>
  <c r="S37" i="5"/>
  <c r="Q37" i="5"/>
  <c r="U37" i="5" s="1"/>
  <c r="M37" i="5"/>
  <c r="T36" i="5"/>
  <c r="S36" i="5"/>
  <c r="Q36" i="5"/>
  <c r="U36" i="5" s="1"/>
  <c r="M36" i="5"/>
  <c r="T35" i="5"/>
  <c r="S35" i="5"/>
  <c r="Q35" i="5"/>
  <c r="U35" i="5" s="1"/>
  <c r="M35" i="5"/>
  <c r="T34" i="5"/>
  <c r="S34" i="5"/>
  <c r="Q34" i="5"/>
  <c r="U34" i="5" s="1"/>
  <c r="M34" i="5"/>
  <c r="T33" i="5"/>
  <c r="S33" i="5"/>
  <c r="Q33" i="5"/>
  <c r="U33" i="5" s="1"/>
  <c r="M33" i="5"/>
  <c r="T32" i="5"/>
  <c r="S32" i="5"/>
  <c r="Q32" i="5"/>
  <c r="M32" i="5"/>
  <c r="V30" i="5"/>
  <c r="V29" i="5" s="1"/>
  <c r="V28" i="5" s="1"/>
  <c r="T27" i="5"/>
  <c r="S27" i="5"/>
  <c r="Q27" i="5"/>
  <c r="U27" i="5" s="1"/>
  <c r="M27" i="5"/>
  <c r="T26" i="5"/>
  <c r="S26" i="5"/>
  <c r="Q26" i="5"/>
  <c r="M26" i="5"/>
  <c r="R25" i="5"/>
  <c r="V24" i="5"/>
  <c r="V23" i="5" s="1"/>
  <c r="V22" i="5" s="1"/>
  <c r="R24" i="5"/>
  <c r="R23" i="5"/>
  <c r="R72" i="5" l="1"/>
  <c r="R75" i="5"/>
  <c r="V708" i="5"/>
  <c r="V707" i="5" s="1"/>
  <c r="R880" i="5"/>
  <c r="R725" i="5"/>
  <c r="R728" i="5"/>
  <c r="R567" i="5"/>
  <c r="R900" i="5"/>
  <c r="Q141" i="5"/>
  <c r="R499" i="5"/>
  <c r="R848" i="5"/>
  <c r="Q901" i="5"/>
  <c r="R95" i="5"/>
  <c r="R98" i="5"/>
  <c r="V893" i="5"/>
  <c r="V892" i="5" s="1"/>
  <c r="V891" i="5" s="1"/>
  <c r="R129" i="5"/>
  <c r="R173" i="5"/>
  <c r="R671" i="5"/>
  <c r="R681" i="5"/>
  <c r="S515" i="5"/>
  <c r="U900" i="5"/>
  <c r="U894" i="5" s="1"/>
  <c r="U893" i="5" s="1"/>
  <c r="U892" i="5" s="1"/>
  <c r="R512" i="5"/>
  <c r="R570" i="5"/>
  <c r="R721" i="5"/>
  <c r="R724" i="5"/>
  <c r="R261" i="5"/>
  <c r="R358" i="5"/>
  <c r="R469" i="5"/>
  <c r="S477" i="5"/>
  <c r="R653" i="5"/>
  <c r="S653" i="5" s="1"/>
  <c r="T141" i="5"/>
  <c r="S904" i="5"/>
  <c r="R169" i="5"/>
  <c r="R423" i="5"/>
  <c r="R429" i="5"/>
  <c r="R503" i="5"/>
  <c r="M753" i="5"/>
  <c r="R330" i="5"/>
  <c r="R861" i="5"/>
  <c r="R696" i="5"/>
  <c r="R726" i="5"/>
  <c r="R810" i="5"/>
  <c r="M904" i="5"/>
  <c r="R179" i="5"/>
  <c r="R310" i="5"/>
  <c r="G14" i="8"/>
  <c r="P160" i="8"/>
  <c r="S226" i="8"/>
  <c r="P51" i="8"/>
  <c r="P66" i="8"/>
  <c r="N160" i="8"/>
  <c r="N226" i="8" s="1"/>
  <c r="P74" i="8"/>
  <c r="P118" i="8"/>
  <c r="O160" i="8"/>
  <c r="O226" i="8"/>
  <c r="O128" i="8"/>
  <c r="P21" i="8"/>
  <c r="K160" i="8"/>
  <c r="P64" i="8"/>
  <c r="P72" i="8"/>
  <c r="P129" i="8"/>
  <c r="P128" i="8" s="1"/>
  <c r="G128" i="8"/>
  <c r="P220" i="8"/>
  <c r="O14" i="8"/>
  <c r="P47" i="8"/>
  <c r="P14" i="8" s="1"/>
  <c r="P82" i="8"/>
  <c r="P125" i="8"/>
  <c r="Q125" i="8" s="1"/>
  <c r="Q14" i="8" s="1"/>
  <c r="Q226" i="8" s="1"/>
  <c r="G220" i="8"/>
  <c r="R302" i="5"/>
  <c r="R216" i="5"/>
  <c r="R355" i="5"/>
  <c r="R468" i="5"/>
  <c r="R471" i="5"/>
  <c r="M520" i="5"/>
  <c r="M519" i="5" s="1"/>
  <c r="M518" i="5" s="1"/>
  <c r="U702" i="5"/>
  <c r="R525" i="5"/>
  <c r="V656" i="5"/>
  <c r="V655" i="5" s="1"/>
  <c r="V654" i="5" s="1"/>
  <c r="V653" i="5" s="1"/>
  <c r="V652" i="5" s="1"/>
  <c r="V651" i="5" s="1"/>
  <c r="V650" i="5" s="1"/>
  <c r="T374" i="5"/>
  <c r="T373" i="5" s="1"/>
  <c r="T372" i="5" s="1"/>
  <c r="S199" i="5"/>
  <c r="S195" i="5" s="1"/>
  <c r="S194" i="5" s="1"/>
  <c r="U525" i="5"/>
  <c r="R154" i="5"/>
  <c r="R701" i="5"/>
  <c r="R65" i="5"/>
  <c r="M153" i="5"/>
  <c r="T199" i="5"/>
  <c r="P235" i="5"/>
  <c r="P234" i="5" s="1"/>
  <c r="R269" i="5"/>
  <c r="R395" i="5"/>
  <c r="R433" i="5"/>
  <c r="R568" i="5"/>
  <c r="Q682" i="5"/>
  <c r="V767" i="5"/>
  <c r="V766" i="5" s="1"/>
  <c r="R840" i="5"/>
  <c r="R118" i="5"/>
  <c r="R328" i="5"/>
  <c r="R376" i="5"/>
  <c r="R467" i="5"/>
  <c r="Q477" i="5"/>
  <c r="T904" i="5"/>
  <c r="R245" i="5"/>
  <c r="R57" i="5"/>
  <c r="R440" i="5"/>
  <c r="R832" i="5"/>
  <c r="R838" i="5"/>
  <c r="M24" i="5"/>
  <c r="M23" i="5" s="1"/>
  <c r="M22" i="5" s="1"/>
  <c r="M633" i="5"/>
  <c r="M632" i="5" s="1"/>
  <c r="M631" i="5" s="1"/>
  <c r="M630" i="5" s="1"/>
  <c r="R36" i="5"/>
  <c r="R438" i="5"/>
  <c r="T753" i="5"/>
  <c r="R250" i="5"/>
  <c r="R292" i="5"/>
  <c r="R448" i="5"/>
  <c r="R830" i="5"/>
  <c r="V509" i="5"/>
  <c r="V508" i="5" s="1"/>
  <c r="R571" i="5"/>
  <c r="S213" i="5"/>
  <c r="S212" i="5" s="1"/>
  <c r="S211" i="5" s="1"/>
  <c r="T270" i="5"/>
  <c r="T480" i="5"/>
  <c r="R489" i="5"/>
  <c r="R565" i="5"/>
  <c r="T576" i="5"/>
  <c r="T575" i="5" s="1"/>
  <c r="T574" i="5" s="1"/>
  <c r="T674" i="5"/>
  <c r="T673" i="5" s="1"/>
  <c r="T672" i="5" s="1"/>
  <c r="R43" i="5"/>
  <c r="R73" i="5"/>
  <c r="R88" i="5"/>
  <c r="R130" i="5"/>
  <c r="R198" i="5"/>
  <c r="R274" i="5"/>
  <c r="R360" i="5"/>
  <c r="T477" i="5"/>
  <c r="T474" i="5" s="1"/>
  <c r="T473" i="5" s="1"/>
  <c r="R789" i="5"/>
  <c r="R792" i="5"/>
  <c r="R903" i="5"/>
  <c r="V431" i="5"/>
  <c r="V430" i="5" s="1"/>
  <c r="R333" i="5"/>
  <c r="R530" i="5"/>
  <c r="U245" i="5"/>
  <c r="R714" i="5"/>
  <c r="U333" i="5"/>
  <c r="S640" i="5"/>
  <c r="S639" i="5" s="1"/>
  <c r="S638" i="5" s="1"/>
  <c r="S637" i="5" s="1"/>
  <c r="R796" i="5"/>
  <c r="V226" i="5"/>
  <c r="V217" i="5" s="1"/>
  <c r="V213" i="5" s="1"/>
  <c r="V212" i="5" s="1"/>
  <c r="V211" i="5" s="1"/>
  <c r="V207" i="5" s="1"/>
  <c r="V204" i="5" s="1"/>
  <c r="V203" i="5" s="1"/>
  <c r="V202" i="5" s="1"/>
  <c r="T515" i="5"/>
  <c r="M794" i="5"/>
  <c r="T24" i="5"/>
  <c r="T23" i="5" s="1"/>
  <c r="T22" i="5" s="1"/>
  <c r="R111" i="5"/>
  <c r="T144" i="5"/>
  <c r="V157" i="5"/>
  <c r="V156" i="5" s="1"/>
  <c r="R282" i="5"/>
  <c r="V379" i="5"/>
  <c r="M389" i="5"/>
  <c r="M397" i="5"/>
  <c r="M396" i="5" s="1"/>
  <c r="T510" i="5"/>
  <c r="U565" i="5"/>
  <c r="U560" i="5" s="1"/>
  <c r="R61" i="5"/>
  <c r="M278" i="5"/>
  <c r="M277" i="5" s="1"/>
  <c r="M276" i="5" s="1"/>
  <c r="R823" i="5"/>
  <c r="S144" i="5"/>
  <c r="S141" i="5" s="1"/>
  <c r="S140" i="5" s="1"/>
  <c r="S139" i="5" s="1"/>
  <c r="U571" i="5"/>
  <c r="S108" i="5"/>
  <c r="V673" i="5"/>
  <c r="V672" i="5" s="1"/>
  <c r="M801" i="5"/>
  <c r="R523" i="5"/>
  <c r="R804" i="5"/>
  <c r="R449" i="5"/>
  <c r="U890" i="5"/>
  <c r="U888" i="5" s="1"/>
  <c r="S510" i="5"/>
  <c r="Q801" i="5"/>
  <c r="R41" i="5"/>
  <c r="R86" i="5"/>
  <c r="Q300" i="5"/>
  <c r="Q299" i="5" s="1"/>
  <c r="Q298" i="5" s="1"/>
  <c r="R344" i="5"/>
  <c r="T620" i="5"/>
  <c r="T619" i="5" s="1"/>
  <c r="T618" i="5" s="1"/>
  <c r="M747" i="5"/>
  <c r="M746" i="5" s="1"/>
  <c r="R828" i="5"/>
  <c r="R259" i="5"/>
  <c r="R40" i="5"/>
  <c r="U523" i="5"/>
  <c r="T30" i="5"/>
  <c r="T29" i="5" s="1"/>
  <c r="T28" i="5" s="1"/>
  <c r="R67" i="5"/>
  <c r="R114" i="5"/>
  <c r="R257" i="5"/>
  <c r="U259" i="5"/>
  <c r="S278" i="5"/>
  <c r="S277" i="5" s="1"/>
  <c r="S276" i="5" s="1"/>
  <c r="T435" i="5"/>
  <c r="U478" i="5"/>
  <c r="U477" i="5" s="1"/>
  <c r="R761" i="5"/>
  <c r="R781" i="5"/>
  <c r="S794" i="5"/>
  <c r="T278" i="5"/>
  <c r="T277" i="5" s="1"/>
  <c r="T276" i="5" s="1"/>
  <c r="R340" i="5"/>
  <c r="M432" i="5"/>
  <c r="R452" i="5"/>
  <c r="T528" i="5"/>
  <c r="T527" i="5" s="1"/>
  <c r="T526" i="5" s="1"/>
  <c r="R601" i="5"/>
  <c r="R610" i="5"/>
  <c r="R887" i="5"/>
  <c r="U142" i="5"/>
  <c r="M144" i="5"/>
  <c r="R166" i="5"/>
  <c r="R252" i="5"/>
  <c r="R351" i="5"/>
  <c r="T381" i="5"/>
  <c r="T380" i="5" s="1"/>
  <c r="R463" i="5"/>
  <c r="S464" i="5"/>
  <c r="Q500" i="5"/>
  <c r="U530" i="5"/>
  <c r="R573" i="5"/>
  <c r="R593" i="5"/>
  <c r="R668" i="5"/>
  <c r="S700" i="5"/>
  <c r="S699" i="5" s="1"/>
  <c r="S698" i="5" s="1"/>
  <c r="S697" i="5" s="1"/>
  <c r="S720" i="5"/>
  <c r="S719" i="5" s="1"/>
  <c r="S718" i="5" s="1"/>
  <c r="R841" i="5"/>
  <c r="R493" i="5"/>
  <c r="M300" i="5"/>
  <c r="M299" i="5" s="1"/>
  <c r="M298" i="5" s="1"/>
  <c r="U130" i="5"/>
  <c r="M226" i="5"/>
  <c r="R482" i="5"/>
  <c r="M203" i="5"/>
  <c r="M202" i="5" s="1"/>
  <c r="R313" i="5"/>
  <c r="M374" i="5"/>
  <c r="M373" i="5" s="1"/>
  <c r="M372" i="5" s="1"/>
  <c r="R383" i="5"/>
  <c r="U452" i="5"/>
  <c r="M460" i="5"/>
  <c r="M459" i="5" s="1"/>
  <c r="M487" i="5"/>
  <c r="U601" i="5"/>
  <c r="M663" i="5"/>
  <c r="R676" i="5"/>
  <c r="R833" i="5"/>
  <c r="R851" i="5"/>
  <c r="M869" i="5"/>
  <c r="M868" i="5" s="1"/>
  <c r="M867" i="5" s="1"/>
  <c r="R883" i="5"/>
  <c r="R636" i="5"/>
  <c r="R740" i="5"/>
  <c r="R439" i="5"/>
  <c r="Q869" i="5"/>
  <c r="Q868" i="5" s="1"/>
  <c r="Q867" i="5" s="1"/>
  <c r="S24" i="5"/>
  <c r="S23" i="5" s="1"/>
  <c r="S22" i="5" s="1"/>
  <c r="U252" i="5"/>
  <c r="T300" i="5"/>
  <c r="T299" i="5" s="1"/>
  <c r="T298" i="5" s="1"/>
  <c r="U463" i="5"/>
  <c r="U573" i="5"/>
  <c r="U593" i="5"/>
  <c r="S709" i="5"/>
  <c r="S708" i="5" s="1"/>
  <c r="S707" i="5" s="1"/>
  <c r="M859" i="5"/>
  <c r="M858" i="5" s="1"/>
  <c r="R113" i="5"/>
  <c r="S153" i="5"/>
  <c r="S150" i="5" s="1"/>
  <c r="S149" i="5" s="1"/>
  <c r="R253" i="5"/>
  <c r="R256" i="5"/>
  <c r="M262" i="5"/>
  <c r="U282" i="5"/>
  <c r="U278" i="5" s="1"/>
  <c r="U277" i="5" s="1"/>
  <c r="U276" i="5" s="1"/>
  <c r="U302" i="5"/>
  <c r="U300" i="5" s="1"/>
  <c r="U299" i="5" s="1"/>
  <c r="U298" i="5" s="1"/>
  <c r="S374" i="5"/>
  <c r="U440" i="5"/>
  <c r="U449" i="5"/>
  <c r="U482" i="5"/>
  <c r="U480" i="5" s="1"/>
  <c r="V505" i="5"/>
  <c r="V504" i="5" s="1"/>
  <c r="V486" i="5" s="1"/>
  <c r="V485" i="5" s="1"/>
  <c r="S569" i="5"/>
  <c r="T709" i="5"/>
  <c r="T708" i="5" s="1"/>
  <c r="T707" i="5" s="1"/>
  <c r="V777" i="5"/>
  <c r="V776" i="5" s="1"/>
  <c r="V775" i="5" s="1"/>
  <c r="T808" i="5"/>
  <c r="Q859" i="5"/>
  <c r="Q858" i="5" s="1"/>
  <c r="U880" i="5"/>
  <c r="R603" i="5"/>
  <c r="R749" i="5"/>
  <c r="R898" i="5"/>
  <c r="U111" i="5"/>
  <c r="R280" i="5"/>
  <c r="R331" i="5"/>
  <c r="R745" i="5"/>
  <c r="Q432" i="5"/>
  <c r="R51" i="5"/>
  <c r="R69" i="5"/>
  <c r="M125" i="5"/>
  <c r="V150" i="5"/>
  <c r="V149" i="5" s="1"/>
  <c r="T153" i="5"/>
  <c r="T150" i="5" s="1"/>
  <c r="T149" i="5" s="1"/>
  <c r="R165" i="5"/>
  <c r="R188" i="5"/>
  <c r="T203" i="5"/>
  <c r="T202" i="5" s="1"/>
  <c r="T213" i="5"/>
  <c r="T212" i="5" s="1"/>
  <c r="T211" i="5" s="1"/>
  <c r="S534" i="5"/>
  <c r="S533" i="5" s="1"/>
  <c r="S532" i="5" s="1"/>
  <c r="T569" i="5"/>
  <c r="S589" i="5"/>
  <c r="R641" i="5"/>
  <c r="U676" i="5"/>
  <c r="S688" i="5"/>
  <c r="S687" i="5" s="1"/>
  <c r="S686" i="5" s="1"/>
  <c r="S685" i="5" s="1"/>
  <c r="R771" i="5"/>
  <c r="R826" i="5"/>
  <c r="R834" i="5"/>
  <c r="U851" i="5"/>
  <c r="U60" i="5"/>
  <c r="R60" i="5"/>
  <c r="R104" i="5"/>
  <c r="R174" i="5"/>
  <c r="U177" i="5"/>
  <c r="R177" i="5"/>
  <c r="R189" i="5"/>
  <c r="M528" i="5"/>
  <c r="M527" i="5" s="1"/>
  <c r="M526" i="5" s="1"/>
  <c r="R645" i="5"/>
  <c r="R730" i="5"/>
  <c r="M729" i="5"/>
  <c r="R791" i="5"/>
  <c r="U791" i="5"/>
  <c r="U873" i="5"/>
  <c r="R873" i="5"/>
  <c r="R479" i="5"/>
  <c r="M477" i="5"/>
  <c r="R85" i="5"/>
  <c r="R94" i="5"/>
  <c r="R164" i="5"/>
  <c r="R192" i="5"/>
  <c r="R419" i="5"/>
  <c r="U419" i="5"/>
  <c r="U536" i="5"/>
  <c r="U535" i="5" s="1"/>
  <c r="R536" i="5"/>
  <c r="R574" i="5"/>
  <c r="R602" i="5"/>
  <c r="U602" i="5"/>
  <c r="R92" i="5"/>
  <c r="U148" i="5"/>
  <c r="Q147" i="5"/>
  <c r="U147" i="5" s="1"/>
  <c r="R160" i="5"/>
  <c r="U160" i="5"/>
  <c r="Q199" i="5"/>
  <c r="M209" i="5"/>
  <c r="Q262" i="5"/>
  <c r="U262" i="5" s="1"/>
  <c r="R268" i="5"/>
  <c r="S348" i="5"/>
  <c r="S347" i="5" s="1"/>
  <c r="S346" i="5" s="1"/>
  <c r="M349" i="5"/>
  <c r="M348" i="5" s="1"/>
  <c r="R359" i="5"/>
  <c r="U359" i="5"/>
  <c r="U403" i="5"/>
  <c r="U408" i="5"/>
  <c r="R408" i="5"/>
  <c r="R428" i="5"/>
  <c r="U439" i="5"/>
  <c r="M515" i="5"/>
  <c r="R517" i="5"/>
  <c r="S808" i="5"/>
  <c r="R849" i="5"/>
  <c r="U849" i="5"/>
  <c r="Q847" i="5"/>
  <c r="R881" i="5"/>
  <c r="U881" i="5"/>
  <c r="U883" i="5"/>
  <c r="U61" i="5"/>
  <c r="R77" i="5"/>
  <c r="R148" i="5"/>
  <c r="U152" i="5"/>
  <c r="U151" i="5" s="1"/>
  <c r="R182" i="5"/>
  <c r="U182" i="5"/>
  <c r="Q213" i="5"/>
  <c r="Q212" i="5" s="1"/>
  <c r="Q211" i="5" s="1"/>
  <c r="R219" i="5"/>
  <c r="R317" i="5"/>
  <c r="U320" i="5"/>
  <c r="R320" i="5"/>
  <c r="T348" i="5"/>
  <c r="T347" i="5" s="1"/>
  <c r="T346" i="5" s="1"/>
  <c r="Q357" i="5"/>
  <c r="R392" i="5"/>
  <c r="U434" i="5"/>
  <c r="U432" i="5" s="1"/>
  <c r="R507" i="5"/>
  <c r="M510" i="5"/>
  <c r="R564" i="5"/>
  <c r="M760" i="5"/>
  <c r="M759" i="5" s="1"/>
  <c r="M758" i="5" s="1"/>
  <c r="R813" i="5"/>
  <c r="U844" i="5"/>
  <c r="R50" i="5"/>
  <c r="R143" i="5"/>
  <c r="T227" i="5"/>
  <c r="T226" i="5" s="1"/>
  <c r="T217" i="5" s="1"/>
  <c r="R260" i="5"/>
  <c r="R266" i="5"/>
  <c r="U266" i="5"/>
  <c r="Q278" i="5"/>
  <c r="Q277" i="5" s="1"/>
  <c r="Q276" i="5" s="1"/>
  <c r="S288" i="5"/>
  <c r="S287" i="5" s="1"/>
  <c r="S286" i="5" s="1"/>
  <c r="R297" i="5"/>
  <c r="R301" i="5"/>
  <c r="U351" i="5"/>
  <c r="R387" i="5"/>
  <c r="R462" i="5"/>
  <c r="Q480" i="5"/>
  <c r="S541" i="5"/>
  <c r="S540" i="5" s="1"/>
  <c r="S539" i="5" s="1"/>
  <c r="R615" i="5"/>
  <c r="R666" i="5"/>
  <c r="S747" i="5"/>
  <c r="S746" i="5" s="1"/>
  <c r="R762" i="5"/>
  <c r="U762" i="5"/>
  <c r="R793" i="5"/>
  <c r="U801" i="5"/>
  <c r="U810" i="5"/>
  <c r="T847" i="5"/>
  <c r="R875" i="5"/>
  <c r="U875" i="5"/>
  <c r="Q125" i="5"/>
  <c r="T288" i="5"/>
  <c r="T287" i="5" s="1"/>
  <c r="T286" i="5" s="1"/>
  <c r="U428" i="5"/>
  <c r="S444" i="5"/>
  <c r="S443" i="5" s="1"/>
  <c r="S442" i="5" s="1"/>
  <c r="Q504" i="5"/>
  <c r="M669" i="5"/>
  <c r="R803" i="5"/>
  <c r="R71" i="5"/>
  <c r="R152" i="5"/>
  <c r="M151" i="5"/>
  <c r="R184" i="5"/>
  <c r="R322" i="5"/>
  <c r="R368" i="5"/>
  <c r="R403" i="5"/>
  <c r="R742" i="5"/>
  <c r="U742" i="5"/>
  <c r="M55" i="5"/>
  <c r="M54" i="5" s="1"/>
  <c r="M53" i="5" s="1"/>
  <c r="R162" i="5"/>
  <c r="U246" i="5"/>
  <c r="R246" i="5"/>
  <c r="M270" i="5"/>
  <c r="Q560" i="5"/>
  <c r="R895" i="5"/>
  <c r="R62" i="5"/>
  <c r="V193" i="5"/>
  <c r="Q242" i="5"/>
  <c r="R255" i="5"/>
  <c r="R284" i="5"/>
  <c r="S397" i="5"/>
  <c r="S396" i="5" s="1"/>
  <c r="S500" i="5"/>
  <c r="S520" i="5"/>
  <c r="S519" i="5" s="1"/>
  <c r="S518" i="5" s="1"/>
  <c r="S607" i="5"/>
  <c r="S606" i="5" s="1"/>
  <c r="S605" i="5" s="1"/>
  <c r="T633" i="5"/>
  <c r="T632" i="5" s="1"/>
  <c r="T631" i="5" s="1"/>
  <c r="T630" i="5" s="1"/>
  <c r="M652" i="5"/>
  <c r="M651" i="5" s="1"/>
  <c r="M650" i="5" s="1"/>
  <c r="R783" i="5"/>
  <c r="R799" i="5"/>
  <c r="U799" i="5"/>
  <c r="M30" i="5"/>
  <c r="M29" i="5" s="1"/>
  <c r="M28" i="5" s="1"/>
  <c r="S82" i="5"/>
  <c r="R248" i="5"/>
  <c r="R441" i="5"/>
  <c r="Q30" i="5"/>
  <c r="U335" i="5"/>
  <c r="R335" i="5"/>
  <c r="R654" i="5"/>
  <c r="S654" i="5" s="1"/>
  <c r="R693" i="5"/>
  <c r="R827" i="5"/>
  <c r="R852" i="5"/>
  <c r="R35" i="5"/>
  <c r="U40" i="5"/>
  <c r="U46" i="5"/>
  <c r="R46" i="5"/>
  <c r="T55" i="5"/>
  <c r="T54" i="5" s="1"/>
  <c r="T53" i="5" s="1"/>
  <c r="T195" i="5"/>
  <c r="T194" i="5" s="1"/>
  <c r="R722" i="5"/>
  <c r="R38" i="5"/>
  <c r="U94" i="5"/>
  <c r="U101" i="5"/>
  <c r="R101" i="5"/>
  <c r="Q190" i="5"/>
  <c r="V306" i="5"/>
  <c r="V305" i="5" s="1"/>
  <c r="S435" i="5"/>
  <c r="S560" i="5"/>
  <c r="R566" i="5"/>
  <c r="Q640" i="5"/>
  <c r="Q639" i="5" s="1"/>
  <c r="Q638" i="5" s="1"/>
  <c r="Q637" i="5" s="1"/>
  <c r="U641" i="5"/>
  <c r="U640" i="5" s="1"/>
  <c r="U639" i="5" s="1"/>
  <c r="U638" i="5" s="1"/>
  <c r="U637" i="5" s="1"/>
  <c r="U825" i="5"/>
  <c r="R825" i="5"/>
  <c r="S842" i="5"/>
  <c r="S843" i="5"/>
  <c r="T879" i="5"/>
  <c r="T878" i="5" s="1"/>
  <c r="T877" i="5" s="1"/>
  <c r="T876" i="5" s="1"/>
  <c r="R42" i="5"/>
  <c r="R48" i="5"/>
  <c r="T125" i="5"/>
  <c r="R171" i="5"/>
  <c r="M213" i="5"/>
  <c r="M212" i="5" s="1"/>
  <c r="M211" i="5" s="1"/>
  <c r="Q217" i="5"/>
  <c r="R222" i="5"/>
  <c r="U222" i="5"/>
  <c r="U217" i="5" s="1"/>
  <c r="V241" i="5"/>
  <c r="V240" i="5"/>
  <c r="V239" i="5" s="1"/>
  <c r="U263" i="5"/>
  <c r="R263" i="5"/>
  <c r="R342" i="5"/>
  <c r="R365" i="5"/>
  <c r="M364" i="5"/>
  <c r="M363" i="5" s="1"/>
  <c r="M362" i="5" s="1"/>
  <c r="T416" i="5"/>
  <c r="T415" i="5" s="1"/>
  <c r="T414" i="5" s="1"/>
  <c r="T500" i="5"/>
  <c r="T520" i="5"/>
  <c r="T519" i="5" s="1"/>
  <c r="T518" i="5" s="1"/>
  <c r="R596" i="5"/>
  <c r="T607" i="5"/>
  <c r="T606" i="5" s="1"/>
  <c r="T605" i="5" s="1"/>
  <c r="U701" i="5"/>
  <c r="Q700" i="5"/>
  <c r="Q699" i="5" s="1"/>
  <c r="Q698" i="5" s="1"/>
  <c r="Q697" i="5" s="1"/>
  <c r="Q768" i="5"/>
  <c r="M862" i="5"/>
  <c r="R704" i="5"/>
  <c r="S30" i="5"/>
  <c r="S29" i="5" s="1"/>
  <c r="S28" i="5" s="1"/>
  <c r="V81" i="5"/>
  <c r="V80" i="5" s="1"/>
  <c r="R131" i="5"/>
  <c r="M217" i="5"/>
  <c r="S235" i="5"/>
  <c r="S234" i="5" s="1"/>
  <c r="S233" i="5" s="1"/>
  <c r="R251" i="5"/>
  <c r="S300" i="5"/>
  <c r="S299" i="5" s="1"/>
  <c r="S298" i="5" s="1"/>
  <c r="S364" i="5"/>
  <c r="S363" i="5" s="1"/>
  <c r="S362" i="5" s="1"/>
  <c r="R391" i="5"/>
  <c r="T397" i="5"/>
  <c r="T396" i="5" s="1"/>
  <c r="R451" i="5"/>
  <c r="R454" i="5"/>
  <c r="R600" i="5"/>
  <c r="R635" i="5"/>
  <c r="S663" i="5"/>
  <c r="S662" i="5" s="1"/>
  <c r="S661" i="5" s="1"/>
  <c r="R784" i="5"/>
  <c r="T801" i="5"/>
  <c r="V807" i="5"/>
  <c r="V806" i="5" s="1"/>
  <c r="R870" i="5"/>
  <c r="T747" i="5"/>
  <c r="T746" i="5" s="1"/>
  <c r="T768" i="5"/>
  <c r="T767" i="5" s="1"/>
  <c r="T766" i="5" s="1"/>
  <c r="S801" i="5"/>
  <c r="R89" i="5"/>
  <c r="M108" i="5"/>
  <c r="M134" i="5"/>
  <c r="M133" i="5" s="1"/>
  <c r="M132" i="5" s="1"/>
  <c r="T235" i="5"/>
  <c r="T234" i="5" s="1"/>
  <c r="T233" i="5" s="1"/>
  <c r="S321" i="5"/>
  <c r="S633" i="5"/>
  <c r="S632" i="5" s="1"/>
  <c r="S631" i="5" s="1"/>
  <c r="S630" i="5" s="1"/>
  <c r="S778" i="5"/>
  <c r="M808" i="5"/>
  <c r="T862" i="5"/>
  <c r="R27" i="5"/>
  <c r="R49" i="5"/>
  <c r="S190" i="5"/>
  <c r="R218" i="5"/>
  <c r="S242" i="5"/>
  <c r="R424" i="5"/>
  <c r="S432" i="5"/>
  <c r="V442" i="5"/>
  <c r="Q459" i="5"/>
  <c r="M504" i="5"/>
  <c r="T534" i="5"/>
  <c r="T533" i="5" s="1"/>
  <c r="T532" i="5" s="1"/>
  <c r="R586" i="5"/>
  <c r="R595" i="5"/>
  <c r="U704" i="5"/>
  <c r="R770" i="5"/>
  <c r="M894" i="5"/>
  <c r="M893" i="5" s="1"/>
  <c r="M892" i="5" s="1"/>
  <c r="M891" i="5" s="1"/>
  <c r="S894" i="5"/>
  <c r="S893" i="5" s="1"/>
  <c r="S892" i="5" s="1"/>
  <c r="S891" i="5" s="1"/>
  <c r="R914" i="5"/>
  <c r="R616" i="5"/>
  <c r="T822" i="5"/>
  <c r="T821" i="5" s="1"/>
  <c r="R865" i="5"/>
  <c r="Q82" i="5"/>
  <c r="R145" i="5"/>
  <c r="R170" i="5"/>
  <c r="R183" i="5"/>
  <c r="R186" i="5"/>
  <c r="T190" i="5"/>
  <c r="T180" i="5" s="1"/>
  <c r="M357" i="5"/>
  <c r="M356" i="5" s="1"/>
  <c r="T364" i="5"/>
  <c r="T363" i="5" s="1"/>
  <c r="T362" i="5" s="1"/>
  <c r="R400" i="5"/>
  <c r="R411" i="5"/>
  <c r="R445" i="5"/>
  <c r="U454" i="5"/>
  <c r="R461" i="5"/>
  <c r="R580" i="5"/>
  <c r="R617" i="5"/>
  <c r="R626" i="5"/>
  <c r="T640" i="5"/>
  <c r="T639" i="5" s="1"/>
  <c r="T638" i="5" s="1"/>
  <c r="T637" i="5" s="1"/>
  <c r="S753" i="5"/>
  <c r="S768" i="5"/>
  <c r="S767" i="5" s="1"/>
  <c r="S766" i="5" s="1"/>
  <c r="T794" i="5"/>
  <c r="V734" i="5"/>
  <c r="V733" i="5" s="1"/>
  <c r="R34" i="5"/>
  <c r="R52" i="5"/>
  <c r="R68" i="5"/>
  <c r="T108" i="5"/>
  <c r="R168" i="5"/>
  <c r="U190" i="5"/>
  <c r="M326" i="5"/>
  <c r="M325" i="5" s="1"/>
  <c r="M324" i="5" s="1"/>
  <c r="Q444" i="5"/>
  <c r="Q443" i="5" s="1"/>
  <c r="S459" i="5"/>
  <c r="R492" i="5"/>
  <c r="S504" i="5"/>
  <c r="M534" i="5"/>
  <c r="M533" i="5" s="1"/>
  <c r="M532" i="5" s="1"/>
  <c r="S576" i="5"/>
  <c r="S575" i="5" s="1"/>
  <c r="R647" i="5"/>
  <c r="T663" i="5"/>
  <c r="T662" i="5" s="1"/>
  <c r="T661" i="5" s="1"/>
  <c r="U796" i="5"/>
  <c r="R824" i="5"/>
  <c r="R836" i="5"/>
  <c r="Q475" i="5"/>
  <c r="U476" i="5"/>
  <c r="U475" i="5" s="1"/>
  <c r="R476" i="5"/>
  <c r="U70" i="5"/>
  <c r="R70" i="5"/>
  <c r="R79" i="5"/>
  <c r="R96" i="5"/>
  <c r="U96" i="5"/>
  <c r="R124" i="5"/>
  <c r="R316" i="5"/>
  <c r="U352" i="5"/>
  <c r="R352" i="5"/>
  <c r="U383" i="5"/>
  <c r="U391" i="5"/>
  <c r="U537" i="5"/>
  <c r="Q534" i="5"/>
  <c r="Q533" i="5" s="1"/>
  <c r="Q532" i="5" s="1"/>
  <c r="R537" i="5"/>
  <c r="U864" i="5"/>
  <c r="U862" i="5" s="1"/>
  <c r="R864" i="5"/>
  <c r="Q862" i="5"/>
  <c r="S869" i="5"/>
  <c r="S868" i="5" s="1"/>
  <c r="S867" i="5" s="1"/>
  <c r="U67" i="5"/>
  <c r="U159" i="5"/>
  <c r="Q158" i="5"/>
  <c r="M175" i="5"/>
  <c r="U210" i="5"/>
  <c r="U208" i="5" s="1"/>
  <c r="R238" i="5"/>
  <c r="R483" i="5"/>
  <c r="M480" i="5"/>
  <c r="U755" i="5"/>
  <c r="U753" i="5" s="1"/>
  <c r="Q753" i="5"/>
  <c r="R755" i="5"/>
  <c r="R856" i="5"/>
  <c r="U91" i="5"/>
  <c r="R91" i="5"/>
  <c r="Q203" i="5"/>
  <c r="Q202" i="5" s="1"/>
  <c r="U206" i="5"/>
  <c r="M307" i="5"/>
  <c r="M847" i="5"/>
  <c r="V846" i="5"/>
  <c r="V845" i="5" s="1"/>
  <c r="S115" i="5"/>
  <c r="R122" i="5"/>
  <c r="R206" i="5"/>
  <c r="R265" i="5"/>
  <c r="R506" i="5"/>
  <c r="R585" i="5"/>
  <c r="U585" i="5"/>
  <c r="U731" i="5"/>
  <c r="Q729" i="5"/>
  <c r="U729" i="5" s="1"/>
  <c r="U773" i="5"/>
  <c r="U772" i="5" s="1"/>
  <c r="Q772" i="5"/>
  <c r="R773" i="5"/>
  <c r="R853" i="5"/>
  <c r="V904" i="5"/>
  <c r="M82" i="5"/>
  <c r="U85" i="5"/>
  <c r="T115" i="5"/>
  <c r="T158" i="5"/>
  <c r="S203" i="5"/>
  <c r="S202" i="5" s="1"/>
  <c r="S204" i="5"/>
  <c r="U238" i="5"/>
  <c r="R275" i="5"/>
  <c r="U275" i="5"/>
  <c r="U270" i="5" s="1"/>
  <c r="T589" i="5"/>
  <c r="T583" i="5" s="1"/>
  <c r="R594" i="5"/>
  <c r="U594" i="5"/>
  <c r="U856" i="5"/>
  <c r="R119" i="5"/>
  <c r="S134" i="5"/>
  <c r="S133" i="5" s="1"/>
  <c r="S132" i="5" s="1"/>
  <c r="U255" i="5"/>
  <c r="U258" i="5"/>
  <c r="R258" i="5"/>
  <c r="R329" i="5"/>
  <c r="U329" i="5"/>
  <c r="R366" i="5"/>
  <c r="T487" i="5"/>
  <c r="R531" i="5"/>
  <c r="R611" i="5"/>
  <c r="U611" i="5"/>
  <c r="U623" i="5"/>
  <c r="R623" i="5"/>
  <c r="T760" i="5"/>
  <c r="T759" i="5" s="1"/>
  <c r="T758" i="5" s="1"/>
  <c r="R897" i="5"/>
  <c r="U39" i="5"/>
  <c r="R39" i="5"/>
  <c r="U66" i="5"/>
  <c r="R66" i="5"/>
  <c r="U76" i="5"/>
  <c r="R76" i="5"/>
  <c r="Q115" i="5"/>
  <c r="U117" i="5"/>
  <c r="U115" i="5" s="1"/>
  <c r="T134" i="5"/>
  <c r="T133" i="5" s="1"/>
  <c r="T132" i="5" s="1"/>
  <c r="S621" i="5"/>
  <c r="S620" i="5" s="1"/>
  <c r="S619" i="5" s="1"/>
  <c r="S618" i="5" s="1"/>
  <c r="Q652" i="5"/>
  <c r="Q651" i="5" s="1"/>
  <c r="Q650" i="5" s="1"/>
  <c r="R664" i="5"/>
  <c r="Q663" i="5"/>
  <c r="Q662" i="5" s="1"/>
  <c r="Q661" i="5" s="1"/>
  <c r="U664" i="5"/>
  <c r="U663" i="5" s="1"/>
  <c r="U662" i="5" s="1"/>
  <c r="U661" i="5" s="1"/>
  <c r="T700" i="5"/>
  <c r="T699" i="5" s="1"/>
  <c r="T698" i="5" s="1"/>
  <c r="T697" i="5" s="1"/>
  <c r="U705" i="5"/>
  <c r="R705" i="5"/>
  <c r="U781" i="5"/>
  <c r="Q778" i="5"/>
  <c r="M821" i="5"/>
  <c r="U399" i="5"/>
  <c r="U397" i="5" s="1"/>
  <c r="U396" i="5" s="1"/>
  <c r="Q397" i="5"/>
  <c r="Q396" i="5" s="1"/>
  <c r="R498" i="5"/>
  <c r="U498" i="5"/>
  <c r="U689" i="5"/>
  <c r="Q688" i="5"/>
  <c r="Q687" i="5" s="1"/>
  <c r="Q686" i="5" s="1"/>
  <c r="Q685" i="5" s="1"/>
  <c r="U717" i="5"/>
  <c r="U715" i="5" s="1"/>
  <c r="R717" i="5"/>
  <c r="Q715" i="5"/>
  <c r="U811" i="5"/>
  <c r="Q808" i="5"/>
  <c r="U839" i="5"/>
  <c r="R839" i="5"/>
  <c r="U32" i="5"/>
  <c r="R32" i="5"/>
  <c r="R84" i="5"/>
  <c r="U84" i="5"/>
  <c r="U185" i="5"/>
  <c r="R185" i="5"/>
  <c r="Q230" i="5"/>
  <c r="Q226" i="5" s="1"/>
  <c r="U232" i="5"/>
  <c r="U230" i="5" s="1"/>
  <c r="O241" i="5"/>
  <c r="O239" i="5"/>
  <c r="R318" i="5"/>
  <c r="Q321" i="5"/>
  <c r="R323" i="5"/>
  <c r="U388" i="5"/>
  <c r="R388" i="5"/>
  <c r="R422" i="5"/>
  <c r="Q515" i="5"/>
  <c r="U516" i="5"/>
  <c r="U515" i="5" s="1"/>
  <c r="U608" i="5"/>
  <c r="Q607" i="5"/>
  <c r="Q606" i="5" s="1"/>
  <c r="R608" i="5"/>
  <c r="R613" i="5"/>
  <c r="U613" i="5"/>
  <c r="R689" i="5"/>
  <c r="R765" i="5"/>
  <c r="R786" i="5"/>
  <c r="U786" i="5"/>
  <c r="R885" i="5"/>
  <c r="U146" i="5"/>
  <c r="U144" i="5" s="1"/>
  <c r="Q144" i="5"/>
  <c r="R210" i="5"/>
  <c r="R232" i="5"/>
  <c r="R354" i="5"/>
  <c r="R418" i="5"/>
  <c r="U418" i="5"/>
  <c r="R420" i="5"/>
  <c r="R866" i="5"/>
  <c r="R106" i="5"/>
  <c r="U127" i="5"/>
  <c r="R127" i="5"/>
  <c r="M141" i="5"/>
  <c r="R142" i="5"/>
  <c r="R146" i="5"/>
  <c r="R161" i="5"/>
  <c r="M158" i="5"/>
  <c r="R201" i="5"/>
  <c r="M199" i="5"/>
  <c r="M195" i="5" s="1"/>
  <c r="M194" i="5" s="1"/>
  <c r="U290" i="5"/>
  <c r="U288" i="5" s="1"/>
  <c r="U287" i="5" s="1"/>
  <c r="U286" i="5" s="1"/>
  <c r="R290" i="5"/>
  <c r="Q288" i="5"/>
  <c r="Q287" i="5" s="1"/>
  <c r="Q286" i="5" s="1"/>
  <c r="R295" i="5"/>
  <c r="U386" i="5"/>
  <c r="R386" i="5"/>
  <c r="S416" i="5"/>
  <c r="S415" i="5" s="1"/>
  <c r="S414" i="5" s="1"/>
  <c r="M559" i="5"/>
  <c r="M558" i="5" s="1"/>
  <c r="R562" i="5"/>
  <c r="U635" i="5"/>
  <c r="U633" i="5" s="1"/>
  <c r="U632" i="5" s="1"/>
  <c r="U631" i="5" s="1"/>
  <c r="U630" i="5" s="1"/>
  <c r="Q633" i="5"/>
  <c r="Q632" i="5" s="1"/>
  <c r="Q631" i="5" s="1"/>
  <c r="Q630" i="5" s="1"/>
  <c r="R738" i="5"/>
  <c r="U738" i="5"/>
  <c r="R814" i="5"/>
  <c r="R64" i="5"/>
  <c r="R117" i="5"/>
  <c r="U154" i="5"/>
  <c r="Q153" i="5"/>
  <c r="Q150" i="5" s="1"/>
  <c r="Q149" i="5" s="1"/>
  <c r="S158" i="5"/>
  <c r="U184" i="5"/>
  <c r="R187" i="5"/>
  <c r="Q204" i="5"/>
  <c r="R244" i="5"/>
  <c r="Q406" i="5"/>
  <c r="Q405" i="5" s="1"/>
  <c r="Q404" i="5" s="1"/>
  <c r="U407" i="5"/>
  <c r="U406" i="5" s="1"/>
  <c r="U405" i="5" s="1"/>
  <c r="U404" i="5" s="1"/>
  <c r="M425" i="5"/>
  <c r="R427" i="5"/>
  <c r="R490" i="5"/>
  <c r="Q487" i="5"/>
  <c r="R495" i="5"/>
  <c r="Q520" i="5"/>
  <c r="Q519" i="5" s="1"/>
  <c r="Q518" i="5" s="1"/>
  <c r="U521" i="5"/>
  <c r="R521" i="5"/>
  <c r="Q307" i="5"/>
  <c r="U309" i="5"/>
  <c r="U308" i="5" s="1"/>
  <c r="U369" i="5"/>
  <c r="U364" i="5" s="1"/>
  <c r="U363" i="5" s="1"/>
  <c r="U362" i="5" s="1"/>
  <c r="R369" i="5"/>
  <c r="Q364" i="5"/>
  <c r="Q363" i="5" s="1"/>
  <c r="Q362" i="5" s="1"/>
  <c r="R375" i="5"/>
  <c r="U375" i="5"/>
  <c r="U374" i="5" s="1"/>
  <c r="U373" i="5" s="1"/>
  <c r="U372" i="5" s="1"/>
  <c r="Q374" i="5"/>
  <c r="Q373" i="5" s="1"/>
  <c r="Q372" i="5" s="1"/>
  <c r="U514" i="5"/>
  <c r="U510" i="5" s="1"/>
  <c r="R514" i="5"/>
  <c r="R812" i="5"/>
  <c r="U812" i="5"/>
  <c r="Q815" i="5"/>
  <c r="U815" i="5" s="1"/>
  <c r="R817" i="5"/>
  <c r="V878" i="5"/>
  <c r="V877" i="5" s="1"/>
  <c r="V876" i="5" s="1"/>
  <c r="Q879" i="5"/>
  <c r="Q878" i="5" s="1"/>
  <c r="Q877" i="5" s="1"/>
  <c r="Q876" i="5" s="1"/>
  <c r="R882" i="5"/>
  <c r="U882" i="5"/>
  <c r="U26" i="5"/>
  <c r="U24" i="5" s="1"/>
  <c r="U23" i="5" s="1"/>
  <c r="U22" i="5" s="1"/>
  <c r="Q24" i="5"/>
  <c r="Q23" i="5" s="1"/>
  <c r="Q22" i="5" s="1"/>
  <c r="Q108" i="5"/>
  <c r="U110" i="5"/>
  <c r="U137" i="5"/>
  <c r="U134" i="5" s="1"/>
  <c r="U133" i="5" s="1"/>
  <c r="U132" i="5" s="1"/>
  <c r="Q134" i="5"/>
  <c r="Q133" i="5" s="1"/>
  <c r="Q132" i="5" s="1"/>
  <c r="T204" i="5"/>
  <c r="R249" i="5"/>
  <c r="M242" i="5"/>
  <c r="R309" i="5"/>
  <c r="R350" i="5"/>
  <c r="S373" i="5"/>
  <c r="S372" i="5" s="1"/>
  <c r="U384" i="5"/>
  <c r="R384" i="5"/>
  <c r="Q510" i="5"/>
  <c r="R578" i="5"/>
  <c r="U677" i="5"/>
  <c r="R677" i="5"/>
  <c r="R712" i="5"/>
  <c r="R748" i="5"/>
  <c r="U748" i="5"/>
  <c r="U747" i="5" s="1"/>
  <c r="Q747" i="5"/>
  <c r="U790" i="5"/>
  <c r="R790" i="5"/>
  <c r="T842" i="5"/>
  <c r="T843" i="5"/>
  <c r="R26" i="5"/>
  <c r="R44" i="5"/>
  <c r="S55" i="5"/>
  <c r="S54" i="5" s="1"/>
  <c r="S53" i="5" s="1"/>
  <c r="R100" i="5"/>
  <c r="R102" i="5"/>
  <c r="R110" i="5"/>
  <c r="S125" i="5"/>
  <c r="R137" i="5"/>
  <c r="R178" i="5"/>
  <c r="R229" i="5"/>
  <c r="M235" i="5"/>
  <c r="M234" i="5" s="1"/>
  <c r="M233" i="5" s="1"/>
  <c r="S307" i="5"/>
  <c r="T326" i="5"/>
  <c r="T325" i="5" s="1"/>
  <c r="T324" i="5" s="1"/>
  <c r="M416" i="5"/>
  <c r="T444" i="5"/>
  <c r="T443" i="5" s="1"/>
  <c r="T442" i="5" s="1"/>
  <c r="U500" i="5"/>
  <c r="M541" i="5"/>
  <c r="M540" i="5" s="1"/>
  <c r="M539" i="5" s="1"/>
  <c r="Q576" i="5"/>
  <c r="U624" i="5"/>
  <c r="R624" i="5"/>
  <c r="M674" i="5"/>
  <c r="M673" i="5" s="1"/>
  <c r="M672" i="5" s="1"/>
  <c r="R675" i="5"/>
  <c r="U694" i="5"/>
  <c r="R694" i="5"/>
  <c r="M778" i="5"/>
  <c r="R800" i="5"/>
  <c r="M500" i="5"/>
  <c r="Q541" i="5"/>
  <c r="Q540" i="5" s="1"/>
  <c r="Q539" i="5" s="1"/>
  <c r="U542" i="5"/>
  <c r="U541" i="5" s="1"/>
  <c r="U540" i="5" s="1"/>
  <c r="U539" i="5" s="1"/>
  <c r="U727" i="5"/>
  <c r="U720" i="5" s="1"/>
  <c r="R727" i="5"/>
  <c r="U780" i="5"/>
  <c r="R780" i="5"/>
  <c r="R107" i="5"/>
  <c r="Q237" i="5"/>
  <c r="Q348" i="5"/>
  <c r="U578" i="5"/>
  <c r="U587" i="5"/>
  <c r="R587" i="5"/>
  <c r="U712" i="5"/>
  <c r="U709" i="5" s="1"/>
  <c r="U752" i="5"/>
  <c r="U751" i="5" s="1"/>
  <c r="R752" i="5"/>
  <c r="Q751" i="5"/>
  <c r="R33" i="5"/>
  <c r="R63" i="5"/>
  <c r="R78" i="5"/>
  <c r="R87" i="5"/>
  <c r="R126" i="5"/>
  <c r="U181" i="5"/>
  <c r="R181" i="5"/>
  <c r="U205" i="5"/>
  <c r="R205" i="5"/>
  <c r="R215" i="5"/>
  <c r="U229" i="5"/>
  <c r="U227" i="5" s="1"/>
  <c r="R304" i="5"/>
  <c r="S381" i="5"/>
  <c r="S380" i="5" s="1"/>
  <c r="U489" i="5"/>
  <c r="R502" i="5"/>
  <c r="U610" i="5"/>
  <c r="R665" i="5"/>
  <c r="R679" i="5"/>
  <c r="T778" i="5"/>
  <c r="U793" i="5"/>
  <c r="U835" i="5"/>
  <c r="R835" i="5"/>
  <c r="T894" i="5"/>
  <c r="T893" i="5" s="1"/>
  <c r="T892" i="5" s="1"/>
  <c r="T891" i="5" s="1"/>
  <c r="R120" i="5"/>
  <c r="M115" i="5"/>
  <c r="T307" i="5"/>
  <c r="T306" i="5" s="1"/>
  <c r="T305" i="5" s="1"/>
  <c r="U584" i="5"/>
  <c r="R584" i="5"/>
  <c r="T688" i="5"/>
  <c r="T687" i="5" s="1"/>
  <c r="T686" i="5" s="1"/>
  <c r="T685" i="5" s="1"/>
  <c r="M709" i="5"/>
  <c r="M708" i="5" s="1"/>
  <c r="M707" i="5" s="1"/>
  <c r="U797" i="5"/>
  <c r="Q794" i="5"/>
  <c r="U817" i="5"/>
  <c r="U155" i="5"/>
  <c r="R155" i="5"/>
  <c r="M444" i="5"/>
  <c r="M443" i="5" s="1"/>
  <c r="M442" i="5" s="1"/>
  <c r="R447" i="5"/>
  <c r="R581" i="5"/>
  <c r="U581" i="5"/>
  <c r="S674" i="5"/>
  <c r="S673" i="5" s="1"/>
  <c r="S672" i="5" s="1"/>
  <c r="R757" i="5"/>
  <c r="Q760" i="5"/>
  <c r="Q759" i="5" s="1"/>
  <c r="Q758" i="5" s="1"/>
  <c r="U761" i="5"/>
  <c r="R797" i="5"/>
  <c r="Q822" i="5"/>
  <c r="Q821" i="5" s="1"/>
  <c r="U823" i="5"/>
  <c r="R58" i="5"/>
  <c r="Q55" i="5"/>
  <c r="Q54" i="5" s="1"/>
  <c r="Q53" i="5" s="1"/>
  <c r="U71" i="5"/>
  <c r="U74" i="5"/>
  <c r="R74" i="5"/>
  <c r="S227" i="5"/>
  <c r="S226" i="5" s="1"/>
  <c r="S217" i="5" s="1"/>
  <c r="T242" i="5"/>
  <c r="U317" i="5"/>
  <c r="U338" i="5"/>
  <c r="R338" i="5"/>
  <c r="M435" i="5"/>
  <c r="M431" i="5" s="1"/>
  <c r="M430" i="5" s="1"/>
  <c r="R436" i="5"/>
  <c r="M640" i="5"/>
  <c r="M639" i="5" s="1"/>
  <c r="M638" i="5" s="1"/>
  <c r="M637" i="5" s="1"/>
  <c r="R643" i="5"/>
  <c r="R764" i="5"/>
  <c r="U764" i="5"/>
  <c r="S879" i="5"/>
  <c r="S878" i="5" s="1"/>
  <c r="S877" i="5" s="1"/>
  <c r="S876" i="5" s="1"/>
  <c r="R172" i="5"/>
  <c r="M204" i="5"/>
  <c r="R312" i="5"/>
  <c r="R345" i="5"/>
  <c r="U345" i="5"/>
  <c r="U378" i="5"/>
  <c r="R378" i="5"/>
  <c r="M381" i="5"/>
  <c r="U470" i="5"/>
  <c r="U464" i="5" s="1"/>
  <c r="U458" i="5" s="1"/>
  <c r="U457" i="5" s="1"/>
  <c r="R470" i="5"/>
  <c r="S480" i="5"/>
  <c r="S528" i="5" a="1"/>
  <c r="S528" i="5" s="1"/>
  <c r="S527" i="5" s="1"/>
  <c r="S526" i="5" s="1"/>
  <c r="V559" i="5"/>
  <c r="V558" i="5" s="1"/>
  <c r="V557" i="5" s="1"/>
  <c r="M607" i="5"/>
  <c r="M606" i="5" s="1"/>
  <c r="M605" i="5" s="1"/>
  <c r="M735" i="5"/>
  <c r="R857" i="5"/>
  <c r="U857" i="5"/>
  <c r="M879" i="5"/>
  <c r="M878" i="5" s="1"/>
  <c r="M877" i="5" s="1"/>
  <c r="M876" i="5" s="1"/>
  <c r="R890" i="5"/>
  <c r="U213" i="5"/>
  <c r="U212" i="5" s="1"/>
  <c r="U211" i="5" s="1"/>
  <c r="Q270" i="5"/>
  <c r="Q326" i="5"/>
  <c r="Q325" i="5" s="1"/>
  <c r="Q324" i="5" s="1"/>
  <c r="R336" i="5"/>
  <c r="R343" i="5"/>
  <c r="U417" i="5"/>
  <c r="Q416" i="5"/>
  <c r="R421" i="5"/>
  <c r="M621" i="5"/>
  <c r="M620" i="5" s="1"/>
  <c r="M619" i="5" s="1"/>
  <c r="M618" i="5" s="1"/>
  <c r="R622" i="5"/>
  <c r="R657" i="5"/>
  <c r="R831" i="5"/>
  <c r="U172" i="5"/>
  <c r="R214" i="5"/>
  <c r="R272" i="5"/>
  <c r="M288" i="5"/>
  <c r="M287" i="5" s="1"/>
  <c r="M286" i="5" s="1"/>
  <c r="U312" i="5"/>
  <c r="R315" i="5"/>
  <c r="R341" i="5"/>
  <c r="Q381" i="5"/>
  <c r="U382" i="5"/>
  <c r="R393" i="5"/>
  <c r="R398" i="5"/>
  <c r="Q464" i="5"/>
  <c r="Q458" i="5" s="1"/>
  <c r="Q457" i="5" s="1"/>
  <c r="V474" i="5"/>
  <c r="V473" i="5" s="1"/>
  <c r="R561" i="5"/>
  <c r="U595" i="5"/>
  <c r="R598" i="5"/>
  <c r="U600" i="5"/>
  <c r="S657" i="5"/>
  <c r="R711" i="5"/>
  <c r="T735" i="5"/>
  <c r="R37" i="5"/>
  <c r="T82" i="5"/>
  <c r="R123" i="5"/>
  <c r="U198" i="5"/>
  <c r="U196" i="5" s="1"/>
  <c r="Q196" i="5"/>
  <c r="U199" i="5"/>
  <c r="R225" i="5"/>
  <c r="S270" i="5"/>
  <c r="R294" i="5"/>
  <c r="S326" i="5"/>
  <c r="S325" i="5" s="1"/>
  <c r="S324" i="5" s="1"/>
  <c r="R334" i="5"/>
  <c r="U334" i="5"/>
  <c r="R371" i="5"/>
  <c r="Q455" i="5"/>
  <c r="R456" i="5"/>
  <c r="R466" i="5"/>
  <c r="S487" i="5"/>
  <c r="R591" i="5"/>
  <c r="M589" i="5"/>
  <c r="R691" i="5"/>
  <c r="Q709" i="5"/>
  <c r="Q713" i="5"/>
  <c r="U713" i="5" s="1"/>
  <c r="U714" i="5"/>
  <c r="Q720" i="5"/>
  <c r="R829" i="5"/>
  <c r="R871" i="5"/>
  <c r="R874" i="5"/>
  <c r="R909" i="5"/>
  <c r="Q908" i="5"/>
  <c r="Q907" i="5" s="1"/>
  <c r="Q906" i="5" s="1"/>
  <c r="Q905" i="5" s="1"/>
  <c r="Q904" i="5" s="1"/>
  <c r="U909" i="5"/>
  <c r="U908" i="5" s="1"/>
  <c r="U907" i="5" s="1"/>
  <c r="U906" i="5" s="1"/>
  <c r="U905" i="5" s="1"/>
  <c r="U914" i="5"/>
  <c r="U913" i="5" s="1"/>
  <c r="U912" i="5" s="1"/>
  <c r="U911" i="5" s="1"/>
  <c r="U910" i="5" s="1"/>
  <c r="R339" i="5"/>
  <c r="M406" i="5"/>
  <c r="M405" i="5" s="1"/>
  <c r="M404" i="5" s="1"/>
  <c r="T432" i="5"/>
  <c r="M464" i="5"/>
  <c r="T560" i="5"/>
  <c r="Q569" i="5"/>
  <c r="U570" i="5"/>
  <c r="U592" i="5"/>
  <c r="Q589" i="5"/>
  <c r="M688" i="5"/>
  <c r="M687" i="5" s="1"/>
  <c r="M686" i="5" s="1"/>
  <c r="M685" i="5" s="1"/>
  <c r="R710" i="5"/>
  <c r="M720" i="5"/>
  <c r="R732" i="5"/>
  <c r="U732" i="5"/>
  <c r="S760" i="5"/>
  <c r="S759" i="5" s="1"/>
  <c r="S758" i="5" s="1"/>
  <c r="M768" i="5"/>
  <c r="M767" i="5" s="1"/>
  <c r="M766" i="5" s="1"/>
  <c r="M321" i="5"/>
  <c r="U339" i="5"/>
  <c r="R361" i="5"/>
  <c r="Q425" i="5"/>
  <c r="U425" i="5" s="1"/>
  <c r="U436" i="5"/>
  <c r="Q435" i="5"/>
  <c r="Q431" i="5" s="1"/>
  <c r="Q430" i="5" s="1"/>
  <c r="R737" i="5"/>
  <c r="Q735" i="5"/>
  <c r="U740" i="5"/>
  <c r="S822" i="5"/>
  <c r="S821" i="5" s="1"/>
  <c r="Q175" i="5"/>
  <c r="U175" i="5" s="1"/>
  <c r="R434" i="5"/>
  <c r="T464" i="5"/>
  <c r="T458" i="5" s="1"/>
  <c r="T457" i="5" s="1"/>
  <c r="R496" i="5"/>
  <c r="U496" i="5"/>
  <c r="Q528" i="5" a="1"/>
  <c r="Q528" i="5" s="1"/>
  <c r="Q527" i="5" s="1"/>
  <c r="Q526" i="5" s="1"/>
  <c r="R629" i="5"/>
  <c r="U629" i="5"/>
  <c r="R684" i="5"/>
  <c r="T720" i="5"/>
  <c r="T719" i="5" s="1"/>
  <c r="T718" i="5" s="1"/>
  <c r="S735" i="5"/>
  <c r="R787" i="5"/>
  <c r="R837" i="5"/>
  <c r="Q842" i="5"/>
  <c r="R844" i="5"/>
  <c r="T869" i="5"/>
  <c r="T868" i="5" s="1"/>
  <c r="T867" i="5" s="1"/>
  <c r="Q894" i="5"/>
  <c r="Q893" i="5" s="1"/>
  <c r="Q892" i="5" s="1"/>
  <c r="R579" i="5"/>
  <c r="R604" i="5"/>
  <c r="Q621" i="5"/>
  <c r="Q620" i="5" s="1"/>
  <c r="Q619" i="5" s="1"/>
  <c r="Q618" i="5" s="1"/>
  <c r="U622" i="5"/>
  <c r="U675" i="5"/>
  <c r="Q674" i="5"/>
  <c r="M700" i="5"/>
  <c r="M699" i="5" s="1"/>
  <c r="M698" i="5" s="1"/>
  <c r="M697" i="5" s="1"/>
  <c r="U768" i="5"/>
  <c r="S847" i="5"/>
  <c r="Q389" i="5"/>
  <c r="U389" i="5" s="1"/>
  <c r="R690" i="5"/>
  <c r="R744" i="5"/>
  <c r="R769" i="5"/>
  <c r="R809" i="5"/>
  <c r="R854" i="5"/>
  <c r="S862" i="5"/>
  <c r="R820" i="5"/>
  <c r="R588" i="5"/>
  <c r="R655" i="5"/>
  <c r="R750" i="5"/>
  <c r="J160" i="7"/>
  <c r="J653" i="7"/>
  <c r="J652" i="7"/>
  <c r="J651" i="7"/>
  <c r="J647" i="7"/>
  <c r="J646" i="7"/>
  <c r="J645" i="7"/>
  <c r="J644" i="7"/>
  <c r="J643" i="7"/>
  <c r="J636" i="7"/>
  <c r="J633" i="7"/>
  <c r="J630" i="7"/>
  <c r="J629" i="7"/>
  <c r="J622" i="7"/>
  <c r="J621" i="7"/>
  <c r="J618" i="7"/>
  <c r="J613" i="7"/>
  <c r="J602" i="7"/>
  <c r="J599" i="7"/>
  <c r="J597" i="7"/>
  <c r="J592" i="7"/>
  <c r="J591" i="7"/>
  <c r="J585" i="7"/>
  <c r="J575" i="7"/>
  <c r="J574" i="7"/>
  <c r="J571" i="7"/>
  <c r="J569" i="7"/>
  <c r="J568" i="7"/>
  <c r="J567" i="7"/>
  <c r="J562" i="7"/>
  <c r="J558" i="7"/>
  <c r="J556" i="7"/>
  <c r="J545" i="7"/>
  <c r="J540" i="7"/>
  <c r="J535" i="7"/>
  <c r="J532" i="7"/>
  <c r="J531" i="7"/>
  <c r="J529" i="7"/>
  <c r="J523" i="7"/>
  <c r="J521" i="7"/>
  <c r="J510" i="7"/>
  <c r="J504" i="7"/>
  <c r="J503" i="7"/>
  <c r="J498" i="7"/>
  <c r="J489" i="7"/>
  <c r="J488" i="7"/>
  <c r="J486" i="7"/>
  <c r="J485" i="7"/>
  <c r="J481" i="7"/>
  <c r="J477" i="7"/>
  <c r="J476" i="7"/>
  <c r="J475" i="7"/>
  <c r="J473" i="7"/>
  <c r="J471" i="7"/>
  <c r="J463" i="7"/>
  <c r="J456" i="7"/>
  <c r="J455" i="7"/>
  <c r="J452" i="7"/>
  <c r="J448" i="7"/>
  <c r="J447" i="7"/>
  <c r="J446" i="7"/>
  <c r="J445" i="7"/>
  <c r="J439" i="7"/>
  <c r="J435" i="7"/>
  <c r="J434" i="7"/>
  <c r="J432" i="7"/>
  <c r="J426" i="7"/>
  <c r="J425" i="7"/>
  <c r="J421" i="7"/>
  <c r="J418" i="7"/>
  <c r="J414" i="7"/>
  <c r="J413" i="7"/>
  <c r="J409" i="7"/>
  <c r="J407" i="7"/>
  <c r="J398" i="7"/>
  <c r="J394" i="7"/>
  <c r="J391" i="7"/>
  <c r="J389" i="7"/>
  <c r="J369" i="7"/>
  <c r="J354" i="7"/>
  <c r="J352" i="7"/>
  <c r="J351" i="7"/>
  <c r="J348" i="7"/>
  <c r="J346" i="7"/>
  <c r="J343" i="7"/>
  <c r="J342" i="7"/>
  <c r="J334" i="7"/>
  <c r="J331" i="7"/>
  <c r="J329" i="7"/>
  <c r="J321" i="7"/>
  <c r="J303" i="7"/>
  <c r="J297" i="7"/>
  <c r="J296" i="7"/>
  <c r="J295" i="7"/>
  <c r="J294" i="7"/>
  <c r="J289" i="7"/>
  <c r="J288" i="7"/>
  <c r="J287" i="7"/>
  <c r="J286" i="7"/>
  <c r="J282" i="7"/>
  <c r="J281" i="7"/>
  <c r="J280" i="7"/>
  <c r="J271" i="7"/>
  <c r="J220" i="7"/>
  <c r="J162" i="7"/>
  <c r="Z498" i="1"/>
  <c r="Z503" i="1" s="1"/>
  <c r="Z493" i="1"/>
  <c r="M493" i="1" s="1"/>
  <c r="R493" i="1" s="1"/>
  <c r="R22" i="5" l="1"/>
  <c r="Q29" i="5"/>
  <c r="Q28" i="5" s="1"/>
  <c r="R28" i="5" s="1"/>
  <c r="R30" i="5"/>
  <c r="S509" i="5"/>
  <c r="S508" i="5" s="1"/>
  <c r="M150" i="5"/>
  <c r="M149" i="5" s="1"/>
  <c r="S474" i="5"/>
  <c r="S473" i="5" s="1"/>
  <c r="T157" i="5"/>
  <c r="T156" i="5" s="1"/>
  <c r="T140" i="5"/>
  <c r="T139" i="5" s="1"/>
  <c r="M458" i="5"/>
  <c r="M457" i="5" s="1"/>
  <c r="T509" i="5"/>
  <c r="T508" i="5" s="1"/>
  <c r="P226" i="8"/>
  <c r="G226" i="8"/>
  <c r="Q306" i="5"/>
  <c r="Q305" i="5" s="1"/>
  <c r="J1726" i="7"/>
  <c r="M734" i="5"/>
  <c r="M733" i="5" s="1"/>
  <c r="V413" i="5"/>
  <c r="S458" i="5"/>
  <c r="S457" i="5" s="1"/>
  <c r="S652" i="5"/>
  <c r="S651" i="5" s="1"/>
  <c r="S650" i="5" s="1"/>
  <c r="S649" i="5" s="1"/>
  <c r="V706" i="5"/>
  <c r="Q486" i="5"/>
  <c r="Q485" i="5" s="1"/>
  <c r="Q140" i="5"/>
  <c r="Q139" i="5" s="1"/>
  <c r="S241" i="5"/>
  <c r="V285" i="5"/>
  <c r="T379" i="5"/>
  <c r="T285" i="5" s="1"/>
  <c r="M380" i="5"/>
  <c r="M379" i="5" s="1"/>
  <c r="Q207" i="5"/>
  <c r="S559" i="5"/>
  <c r="S558" i="5" s="1"/>
  <c r="S557" i="5" s="1"/>
  <c r="S538" i="5" s="1"/>
  <c r="V21" i="5"/>
  <c r="Q673" i="5"/>
  <c r="Q672" i="5" s="1"/>
  <c r="Q649" i="5" s="1"/>
  <c r="S207" i="5"/>
  <c r="U141" i="5"/>
  <c r="U140" i="5" s="1"/>
  <c r="U139" i="5" s="1"/>
  <c r="S777" i="5"/>
  <c r="S776" i="5" s="1"/>
  <c r="S775" i="5" s="1"/>
  <c r="U528" i="5" a="1"/>
  <c r="U528" i="5" s="1"/>
  <c r="U527" i="5" s="1"/>
  <c r="U526" i="5" s="1"/>
  <c r="Q442" i="5"/>
  <c r="T734" i="5"/>
  <c r="T733" i="5" s="1"/>
  <c r="T706" i="5" s="1"/>
  <c r="U204" i="5"/>
  <c r="M486" i="5"/>
  <c r="M485" i="5" s="1"/>
  <c r="U520" i="5"/>
  <c r="U519" i="5" s="1"/>
  <c r="U518" i="5" s="1"/>
  <c r="T207" i="5"/>
  <c r="T193" i="5" s="1"/>
  <c r="U869" i="5"/>
  <c r="U868" i="5" s="1"/>
  <c r="U867" i="5" s="1"/>
  <c r="M777" i="5"/>
  <c r="M776" i="5" s="1"/>
  <c r="M775" i="5" s="1"/>
  <c r="T559" i="5"/>
  <c r="T558" i="5" s="1"/>
  <c r="T557" i="5" s="1"/>
  <c r="T538" i="5" s="1"/>
  <c r="S157" i="5"/>
  <c r="S156" i="5" s="1"/>
  <c r="U474" i="5"/>
  <c r="U473" i="5" s="1"/>
  <c r="T649" i="5"/>
  <c r="V805" i="5"/>
  <c r="V774" i="5" s="1"/>
  <c r="M140" i="5"/>
  <c r="M139" i="5" s="1"/>
  <c r="M474" i="5"/>
  <c r="M473" i="5" s="1"/>
  <c r="V649" i="5"/>
  <c r="U242" i="5"/>
  <c r="U240" i="5" s="1"/>
  <c r="U239" i="5" s="1"/>
  <c r="M719" i="5"/>
  <c r="M718" i="5" s="1"/>
  <c r="U708" i="5"/>
  <c r="U707" i="5" s="1"/>
  <c r="U307" i="5"/>
  <c r="U306" i="5" s="1"/>
  <c r="U305" i="5" s="1"/>
  <c r="M807" i="5"/>
  <c r="M806" i="5" s="1"/>
  <c r="U125" i="5"/>
  <c r="U794" i="5"/>
  <c r="T777" i="5"/>
  <c r="T776" i="5" s="1"/>
  <c r="T775" i="5" s="1"/>
  <c r="U735" i="5"/>
  <c r="U30" i="5"/>
  <c r="U29" i="5" s="1"/>
  <c r="U28" i="5" s="1"/>
  <c r="Q767" i="5"/>
  <c r="Q766" i="5" s="1"/>
  <c r="S734" i="5"/>
  <c r="S733" i="5" s="1"/>
  <c r="S706" i="5" s="1"/>
  <c r="Q746" i="5"/>
  <c r="Q734" i="5" s="1"/>
  <c r="Q733" i="5" s="1"/>
  <c r="U435" i="5"/>
  <c r="U431" i="5" s="1"/>
  <c r="U430" i="5" s="1"/>
  <c r="Q195" i="5"/>
  <c r="Q194" i="5" s="1"/>
  <c r="V472" i="5"/>
  <c r="Q241" i="5"/>
  <c r="U180" i="5"/>
  <c r="U576" i="5"/>
  <c r="U575" i="5" s="1"/>
  <c r="U574" i="5" s="1"/>
  <c r="M846" i="5"/>
  <c r="M845" i="5" s="1"/>
  <c r="U444" i="5"/>
  <c r="U443" i="5" s="1"/>
  <c r="U442" i="5" s="1"/>
  <c r="U847" i="5"/>
  <c r="U846" i="5" s="1"/>
  <c r="U845" i="5" s="1"/>
  <c r="S240" i="5"/>
  <c r="S239" i="5" s="1"/>
  <c r="U589" i="5"/>
  <c r="U569" i="5"/>
  <c r="U108" i="5"/>
  <c r="U534" i="5"/>
  <c r="U533" i="5" s="1"/>
  <c r="U532" i="5" s="1"/>
  <c r="S431" i="5"/>
  <c r="S430" i="5" s="1"/>
  <c r="M662" i="5"/>
  <c r="M661" i="5" s="1"/>
  <c r="M649" i="5" s="1"/>
  <c r="M509" i="5"/>
  <c r="M508" i="5" s="1"/>
  <c r="T431" i="5"/>
  <c r="T430" i="5" s="1"/>
  <c r="T413" i="5" s="1"/>
  <c r="U808" i="5"/>
  <c r="U207" i="5"/>
  <c r="U700" i="5"/>
  <c r="U699" i="5" s="1"/>
  <c r="U698" i="5" s="1"/>
  <c r="U697" i="5" s="1"/>
  <c r="T81" i="5"/>
  <c r="T80" i="5" s="1"/>
  <c r="T21" i="5" s="1"/>
  <c r="M347" i="5"/>
  <c r="M346" i="5" s="1"/>
  <c r="U621" i="5"/>
  <c r="U620" i="5" s="1"/>
  <c r="U619" i="5" s="1"/>
  <c r="U618" i="5" s="1"/>
  <c r="Q509" i="5"/>
  <c r="Q508" i="5" s="1"/>
  <c r="Q81" i="5"/>
  <c r="Q80" i="5" s="1"/>
  <c r="U509" i="5"/>
  <c r="U508" i="5" s="1"/>
  <c r="T846" i="5"/>
  <c r="T845" i="5" s="1"/>
  <c r="S807" i="5"/>
  <c r="S806" i="5" s="1"/>
  <c r="S379" i="5"/>
  <c r="S306" i="5"/>
  <c r="S305" i="5" s="1"/>
  <c r="S285" i="5" s="1"/>
  <c r="U55" i="5"/>
  <c r="U54" i="5" s="1"/>
  <c r="U53" i="5" s="1"/>
  <c r="Q474" i="5"/>
  <c r="Q473" i="5" s="1"/>
  <c r="U843" i="5"/>
  <c r="U842" i="5"/>
  <c r="T505" i="5"/>
  <c r="T504" i="5" s="1"/>
  <c r="T486" i="5" s="1"/>
  <c r="T485" i="5" s="1"/>
  <c r="T472" i="5" s="1"/>
  <c r="U778" i="5"/>
  <c r="T807" i="5"/>
  <c r="T806" i="5" s="1"/>
  <c r="Q240" i="5"/>
  <c r="Q239" i="5" s="1"/>
  <c r="U348" i="5"/>
  <c r="M306" i="5"/>
  <c r="M305" i="5" s="1"/>
  <c r="M207" i="5"/>
  <c r="M193" i="5" s="1"/>
  <c r="U879" i="5"/>
  <c r="U878" i="5" s="1"/>
  <c r="U877" i="5" s="1"/>
  <c r="U876" i="5" s="1"/>
  <c r="U326" i="5"/>
  <c r="U325" i="5" s="1"/>
  <c r="U324" i="5" s="1"/>
  <c r="Q846" i="5"/>
  <c r="Q845" i="5" s="1"/>
  <c r="S486" i="5"/>
  <c r="S485" i="5" s="1"/>
  <c r="S472" i="5" s="1"/>
  <c r="U719" i="5"/>
  <c r="U718" i="5" s="1"/>
  <c r="Q807" i="5"/>
  <c r="Q806" i="5" s="1"/>
  <c r="S81" i="5"/>
  <c r="S80" i="5" s="1"/>
  <c r="S21" i="5" s="1"/>
  <c r="Q356" i="5"/>
  <c r="U356" i="5" s="1"/>
  <c r="U357" i="5"/>
  <c r="Q891" i="5"/>
  <c r="Q415" i="5"/>
  <c r="Q414" i="5" s="1"/>
  <c r="U607" i="5"/>
  <c r="U606" i="5" s="1"/>
  <c r="U605" i="5" s="1"/>
  <c r="U416" i="5"/>
  <c r="U415" i="5" s="1"/>
  <c r="U414" i="5" s="1"/>
  <c r="U487" i="5"/>
  <c r="R576" i="5"/>
  <c r="Q575" i="5"/>
  <c r="R575" i="5" s="1"/>
  <c r="U746" i="5"/>
  <c r="M81" i="5"/>
  <c r="M80" i="5" s="1"/>
  <c r="U203" i="5"/>
  <c r="U202" i="5" s="1"/>
  <c r="U904" i="5"/>
  <c r="M241" i="5"/>
  <c r="M240" i="5"/>
  <c r="M239" i="5" s="1"/>
  <c r="S846" i="5"/>
  <c r="S845" i="5" s="1"/>
  <c r="V538" i="5"/>
  <c r="V555" i="5"/>
  <c r="V541" i="5" s="1"/>
  <c r="V540" i="5" s="1"/>
  <c r="V539" i="5" s="1"/>
  <c r="U822" i="5"/>
  <c r="U821" i="5" s="1"/>
  <c r="U82" i="5"/>
  <c r="U688" i="5"/>
  <c r="U687" i="5" s="1"/>
  <c r="U686" i="5" s="1"/>
  <c r="U685" i="5" s="1"/>
  <c r="Q777" i="5"/>
  <c r="Q776" i="5" s="1"/>
  <c r="Q775" i="5" s="1"/>
  <c r="S193" i="5"/>
  <c r="Q157" i="5"/>
  <c r="Q156" i="5" s="1"/>
  <c r="U674" i="5"/>
  <c r="U673" i="5" s="1"/>
  <c r="U672" i="5" s="1"/>
  <c r="U649" i="5" s="1"/>
  <c r="U760" i="5"/>
  <c r="U759" i="5" s="1"/>
  <c r="U758" i="5" s="1"/>
  <c r="R237" i="5"/>
  <c r="Q235" i="5"/>
  <c r="Q234" i="5" s="1"/>
  <c r="Q233" i="5" s="1"/>
  <c r="U237" i="5"/>
  <c r="U235" i="5" s="1"/>
  <c r="U234" i="5" s="1"/>
  <c r="U233" i="5" s="1"/>
  <c r="U226" i="5"/>
  <c r="U153" i="5"/>
  <c r="U150" i="5" s="1"/>
  <c r="U149" i="5" s="1"/>
  <c r="M157" i="5"/>
  <c r="M156" i="5" s="1"/>
  <c r="U158" i="5"/>
  <c r="U157" i="5" s="1"/>
  <c r="U156" i="5" s="1"/>
  <c r="T240" i="5"/>
  <c r="T239" i="5" s="1"/>
  <c r="T241" i="5"/>
  <c r="Q708" i="5"/>
  <c r="Q707" i="5" s="1"/>
  <c r="U381" i="5"/>
  <c r="U380" i="5" s="1"/>
  <c r="U379" i="5" s="1"/>
  <c r="Q379" i="5"/>
  <c r="Q380" i="5"/>
  <c r="R569" i="5"/>
  <c r="U767" i="5"/>
  <c r="U766" i="5" s="1"/>
  <c r="Q719" i="5"/>
  <c r="Q718" i="5" s="1"/>
  <c r="U195" i="5"/>
  <c r="U194" i="5" s="1"/>
  <c r="U891" i="5"/>
  <c r="M415" i="5"/>
  <c r="M414" i="5" s="1"/>
  <c r="M413" i="5" s="1"/>
  <c r="M557" i="5"/>
  <c r="M538" i="5" s="1"/>
  <c r="S551" i="1"/>
  <c r="S413" i="5" l="1"/>
  <c r="V20" i="5"/>
  <c r="M805" i="5"/>
  <c r="M774" i="5" s="1"/>
  <c r="V412" i="5"/>
  <c r="M285" i="5"/>
  <c r="M706" i="5"/>
  <c r="M648" i="5" s="1"/>
  <c r="S648" i="5"/>
  <c r="V648" i="5"/>
  <c r="Q413" i="5"/>
  <c r="U505" i="5"/>
  <c r="U504" i="5" s="1"/>
  <c r="U486" i="5" s="1"/>
  <c r="U485" i="5" s="1"/>
  <c r="U472" i="5" s="1"/>
  <c r="U777" i="5"/>
  <c r="U776" i="5" s="1"/>
  <c r="U775" i="5" s="1"/>
  <c r="U774" i="5" s="1"/>
  <c r="T648" i="5"/>
  <c r="Q472" i="5"/>
  <c r="T555" i="5"/>
  <c r="T541" i="5" s="1"/>
  <c r="T540" i="5" s="1"/>
  <c r="T539" i="5" s="1"/>
  <c r="U807" i="5"/>
  <c r="U806" i="5" s="1"/>
  <c r="U805" i="5" s="1"/>
  <c r="Q193" i="5"/>
  <c r="U241" i="5"/>
  <c r="U734" i="5"/>
  <c r="U733" i="5" s="1"/>
  <c r="U706" i="5" s="1"/>
  <c r="U648" i="5" s="1"/>
  <c r="U559" i="5"/>
  <c r="U558" i="5" s="1"/>
  <c r="U557" i="5" s="1"/>
  <c r="U538" i="5" s="1"/>
  <c r="M472" i="5"/>
  <c r="M412" i="5" s="1"/>
  <c r="V915" i="5"/>
  <c r="Q805" i="5"/>
  <c r="Q774" i="5" s="1"/>
  <c r="Q21" i="5"/>
  <c r="R21" i="5" s="1"/>
  <c r="Q347" i="5"/>
  <c r="Q346" i="5" s="1"/>
  <c r="Q285" i="5" s="1"/>
  <c r="T805" i="5"/>
  <c r="T774" i="5" s="1"/>
  <c r="S412" i="5"/>
  <c r="Q706" i="5"/>
  <c r="Q648" i="5" s="1"/>
  <c r="S20" i="5"/>
  <c r="S805" i="5"/>
  <c r="S774" i="5" s="1"/>
  <c r="T412" i="5"/>
  <c r="Q559" i="5"/>
  <c r="Q558" i="5" s="1"/>
  <c r="Q538" i="5" s="1"/>
  <c r="U81" i="5"/>
  <c r="U80" i="5" s="1"/>
  <c r="U21" i="5" s="1"/>
  <c r="T20" i="5"/>
  <c r="U347" i="5"/>
  <c r="U346" i="5" s="1"/>
  <c r="U285" i="5" s="1"/>
  <c r="U193" i="5"/>
  <c r="U413" i="5"/>
  <c r="M21" i="5"/>
  <c r="R491" i="1"/>
  <c r="R492" i="1"/>
  <c r="R490" i="1"/>
  <c r="M20" i="5" l="1"/>
  <c r="Q412" i="5"/>
  <c r="Q20" i="5"/>
  <c r="R20" i="5" s="1"/>
  <c r="S915" i="5"/>
  <c r="T915" i="5"/>
  <c r="U20" i="5"/>
  <c r="M915" i="5"/>
  <c r="U412" i="5"/>
  <c r="Q915" i="5"/>
  <c r="AB496" i="1"/>
  <c r="AB495" i="1"/>
  <c r="AB494" i="1"/>
  <c r="R915" i="5" l="1"/>
  <c r="U915" i="5"/>
  <c r="AB503" i="1"/>
  <c r="S338" i="1"/>
  <c r="S316" i="1"/>
  <c r="S284" i="1"/>
  <c r="S271" i="1"/>
  <c r="S239" i="1"/>
  <c r="S231" i="1"/>
  <c r="S179" i="1"/>
  <c r="S286" i="1" l="1"/>
  <c r="S241" i="1"/>
  <c r="T76" i="1" l="1"/>
  <c r="R36" i="1"/>
  <c r="K24" i="1"/>
  <c r="N258" i="7" l="1"/>
  <c r="N259" i="7" s="1"/>
  <c r="B257" i="7"/>
  <c r="N253" i="7"/>
  <c r="N196" i="7"/>
  <c r="N197" i="7" s="1"/>
  <c r="B195" i="7"/>
  <c r="J193" i="7"/>
  <c r="J1734" i="7" s="1"/>
  <c r="N163" i="7"/>
  <c r="N164" i="7" s="1"/>
  <c r="B162" i="7"/>
  <c r="N14" i="7"/>
  <c r="N15" i="7" s="1"/>
  <c r="B13" i="7"/>
  <c r="B10" i="7"/>
  <c r="B14" i="7" l="1"/>
  <c r="B163" i="7"/>
  <c r="B196" i="7"/>
  <c r="B258" i="7"/>
  <c r="N16" i="7"/>
  <c r="B15" i="7"/>
  <c r="N165" i="7"/>
  <c r="B164" i="7"/>
  <c r="N198" i="7"/>
  <c r="B197" i="7"/>
  <c r="N260" i="7"/>
  <c r="B259" i="7"/>
  <c r="N261" i="7" l="1"/>
  <c r="B260" i="7"/>
  <c r="N199" i="7"/>
  <c r="B198" i="7"/>
  <c r="N166" i="7"/>
  <c r="B165" i="7"/>
  <c r="N17" i="7"/>
  <c r="B16" i="7"/>
  <c r="N18" i="7" l="1"/>
  <c r="B17" i="7"/>
  <c r="N167" i="7"/>
  <c r="B166" i="7"/>
  <c r="N200" i="7"/>
  <c r="B199" i="7"/>
  <c r="N262" i="7"/>
  <c r="B261" i="7"/>
  <c r="N263" i="7" l="1"/>
  <c r="B262" i="7"/>
  <c r="N201" i="7"/>
  <c r="B200" i="7"/>
  <c r="N168" i="7"/>
  <c r="B167" i="7"/>
  <c r="N19" i="7"/>
  <c r="B18" i="7"/>
  <c r="N20" i="7" l="1"/>
  <c r="B19" i="7"/>
  <c r="N169" i="7"/>
  <c r="B168" i="7"/>
  <c r="N202" i="7"/>
  <c r="B201" i="7"/>
  <c r="N264" i="7"/>
  <c r="B263" i="7"/>
  <c r="N265" i="7" l="1"/>
  <c r="B264" i="7"/>
  <c r="N203" i="7"/>
  <c r="B202" i="7"/>
  <c r="N170" i="7"/>
  <c r="B169" i="7"/>
  <c r="N21" i="7"/>
  <c r="B20" i="7"/>
  <c r="N22" i="7" l="1"/>
  <c r="B21" i="7"/>
  <c r="N171" i="7"/>
  <c r="B170" i="7"/>
  <c r="N204" i="7"/>
  <c r="B203" i="7"/>
  <c r="N266" i="7"/>
  <c r="B265" i="7"/>
  <c r="N267" i="7" l="1"/>
  <c r="B266" i="7"/>
  <c r="N205" i="7"/>
  <c r="B204" i="7"/>
  <c r="N172" i="7"/>
  <c r="B171" i="7"/>
  <c r="N23" i="7"/>
  <c r="B22" i="7"/>
  <c r="N24" i="7" l="1"/>
  <c r="B23" i="7"/>
  <c r="N173" i="7"/>
  <c r="B172" i="7"/>
  <c r="N206" i="7"/>
  <c r="B205" i="7"/>
  <c r="N268" i="7"/>
  <c r="B267" i="7"/>
  <c r="N269" i="7" l="1"/>
  <c r="B268" i="7"/>
  <c r="N207" i="7"/>
  <c r="B206" i="7"/>
  <c r="N174" i="7"/>
  <c r="B173" i="7"/>
  <c r="N25" i="7"/>
  <c r="B24" i="7"/>
  <c r="N26" i="7" l="1"/>
  <c r="B25" i="7"/>
  <c r="N175" i="7"/>
  <c r="B174" i="7"/>
  <c r="N208" i="7"/>
  <c r="B207" i="7"/>
  <c r="N270" i="7"/>
  <c r="B269" i="7"/>
  <c r="N271" i="7" l="1"/>
  <c r="B270" i="7"/>
  <c r="N209" i="7"/>
  <c r="B208" i="7"/>
  <c r="N176" i="7"/>
  <c r="B175" i="7"/>
  <c r="N27" i="7"/>
  <c r="B26" i="7"/>
  <c r="N28" i="7" l="1"/>
  <c r="B27" i="7"/>
  <c r="N177" i="7"/>
  <c r="B176" i="7"/>
  <c r="N210" i="7"/>
  <c r="B209" i="7"/>
  <c r="N272" i="7"/>
  <c r="B271" i="7"/>
  <c r="N273" i="7" l="1"/>
  <c r="B272" i="7"/>
  <c r="N211" i="7"/>
  <c r="B210" i="7"/>
  <c r="N178" i="7"/>
  <c r="B177" i="7"/>
  <c r="N29" i="7"/>
  <c r="B28" i="7"/>
  <c r="N30" i="7" l="1"/>
  <c r="B29" i="7"/>
  <c r="N179" i="7"/>
  <c r="B178" i="7"/>
  <c r="N212" i="7"/>
  <c r="B211" i="7"/>
  <c r="N274" i="7"/>
  <c r="B273" i="7"/>
  <c r="N275" i="7" l="1"/>
  <c r="B274" i="7"/>
  <c r="N213" i="7"/>
  <c r="B212" i="7"/>
  <c r="N180" i="7"/>
  <c r="B179" i="7"/>
  <c r="N31" i="7"/>
  <c r="B30" i="7"/>
  <c r="N32" i="7" l="1"/>
  <c r="B31" i="7"/>
  <c r="N181" i="7"/>
  <c r="B180" i="7"/>
  <c r="N214" i="7"/>
  <c r="B213" i="7"/>
  <c r="N276" i="7"/>
  <c r="B275" i="7"/>
  <c r="N277" i="7" l="1"/>
  <c r="B276" i="7"/>
  <c r="N215" i="7"/>
  <c r="B214" i="7"/>
  <c r="N182" i="7"/>
  <c r="B181" i="7"/>
  <c r="N33" i="7"/>
  <c r="B32" i="7"/>
  <c r="N34" i="7" l="1"/>
  <c r="B33" i="7"/>
  <c r="N183" i="7"/>
  <c r="B182" i="7"/>
  <c r="N216" i="7"/>
  <c r="B215" i="7"/>
  <c r="N278" i="7"/>
  <c r="B277" i="7"/>
  <c r="N279" i="7" l="1"/>
  <c r="B278" i="7"/>
  <c r="N217" i="7"/>
  <c r="B216" i="7"/>
  <c r="N184" i="7"/>
  <c r="B183" i="7"/>
  <c r="N35" i="7"/>
  <c r="B34" i="7"/>
  <c r="N36" i="7" l="1"/>
  <c r="B35" i="7"/>
  <c r="N185" i="7"/>
  <c r="B184" i="7"/>
  <c r="N218" i="7"/>
  <c r="B217" i="7"/>
  <c r="N280" i="7"/>
  <c r="B279" i="7"/>
  <c r="N281" i="7" l="1"/>
  <c r="B280" i="7"/>
  <c r="N219" i="7"/>
  <c r="B218" i="7"/>
  <c r="N186" i="7"/>
  <c r="B185" i="7"/>
  <c r="N37" i="7"/>
  <c r="B36" i="7"/>
  <c r="N38" i="7" l="1"/>
  <c r="B37" i="7"/>
  <c r="N187" i="7"/>
  <c r="B186" i="7"/>
  <c r="N220" i="7"/>
  <c r="B219" i="7"/>
  <c r="N282" i="7"/>
  <c r="B281" i="7"/>
  <c r="N283" i="7" l="1"/>
  <c r="B282" i="7"/>
  <c r="N221" i="7"/>
  <c r="B220" i="7"/>
  <c r="N188" i="7"/>
  <c r="B187" i="7"/>
  <c r="N39" i="7"/>
  <c r="B38" i="7"/>
  <c r="N40" i="7" l="1"/>
  <c r="B39" i="7"/>
  <c r="N190" i="7"/>
  <c r="B188" i="7"/>
  <c r="N222" i="7"/>
  <c r="B221" i="7"/>
  <c r="N284" i="7"/>
  <c r="B283" i="7"/>
  <c r="N285" i="7" l="1"/>
  <c r="B284" i="7"/>
  <c r="N223" i="7"/>
  <c r="B222" i="7"/>
  <c r="N191" i="7"/>
  <c r="B189" i="7"/>
  <c r="N41" i="7"/>
  <c r="B40" i="7"/>
  <c r="N42" i="7" l="1"/>
  <c r="B41" i="7"/>
  <c r="B190" i="7"/>
  <c r="N224" i="7"/>
  <c r="B223" i="7"/>
  <c r="N286" i="7"/>
  <c r="B285" i="7"/>
  <c r="N287" i="7" l="1"/>
  <c r="B286" i="7"/>
  <c r="N225" i="7"/>
  <c r="B224" i="7"/>
  <c r="N43" i="7"/>
  <c r="B42" i="7"/>
  <c r="N44" i="7" l="1"/>
  <c r="B43" i="7"/>
  <c r="N226" i="7"/>
  <c r="B225" i="7"/>
  <c r="N288" i="7"/>
  <c r="B287" i="7"/>
  <c r="N289" i="7" l="1"/>
  <c r="B288" i="7"/>
  <c r="N227" i="7"/>
  <c r="B226" i="7"/>
  <c r="N45" i="7"/>
  <c r="B44" i="7"/>
  <c r="N46" i="7" l="1"/>
  <c r="B45" i="7"/>
  <c r="N228" i="7"/>
  <c r="B227" i="7"/>
  <c r="N290" i="7"/>
  <c r="B289" i="7"/>
  <c r="N291" i="7" l="1"/>
  <c r="B290" i="7"/>
  <c r="N229" i="7"/>
  <c r="B228" i="7"/>
  <c r="N47" i="7"/>
  <c r="B46" i="7"/>
  <c r="N48" i="7" l="1"/>
  <c r="B47" i="7"/>
  <c r="N230" i="7"/>
  <c r="B229" i="7"/>
  <c r="N292" i="7"/>
  <c r="B291" i="7"/>
  <c r="N293" i="7" l="1"/>
  <c r="B292" i="7"/>
  <c r="N231" i="7"/>
  <c r="B230" i="7"/>
  <c r="N49" i="7"/>
  <c r="B48" i="7"/>
  <c r="N50" i="7" l="1"/>
  <c r="B49" i="7"/>
  <c r="N232" i="7"/>
  <c r="B231" i="7"/>
  <c r="N294" i="7"/>
  <c r="B293" i="7"/>
  <c r="N295" i="7" l="1"/>
  <c r="B294" i="7"/>
  <c r="N233" i="7"/>
  <c r="B232" i="7"/>
  <c r="N51" i="7"/>
  <c r="B50" i="7"/>
  <c r="N52" i="7" l="1"/>
  <c r="B51" i="7"/>
  <c r="N234" i="7"/>
  <c r="B233" i="7"/>
  <c r="N296" i="7"/>
  <c r="B295" i="7"/>
  <c r="N297" i="7" l="1"/>
  <c r="B296" i="7"/>
  <c r="N235" i="7"/>
  <c r="B234" i="7"/>
  <c r="N53" i="7"/>
  <c r="B52" i="7"/>
  <c r="N54" i="7" l="1"/>
  <c r="B53" i="7"/>
  <c r="N236" i="7"/>
  <c r="B235" i="7"/>
  <c r="N298" i="7"/>
  <c r="B297" i="7"/>
  <c r="N299" i="7" l="1"/>
  <c r="B298" i="7"/>
  <c r="N237" i="7"/>
  <c r="B236" i="7"/>
  <c r="N55" i="7"/>
  <c r="B54" i="7"/>
  <c r="N56" i="7" l="1"/>
  <c r="B55" i="7"/>
  <c r="N238" i="7"/>
  <c r="B237" i="7"/>
  <c r="N300" i="7"/>
  <c r="B299" i="7"/>
  <c r="N301" i="7" l="1"/>
  <c r="B300" i="7"/>
  <c r="N239" i="7"/>
  <c r="B238" i="7"/>
  <c r="N57" i="7"/>
  <c r="B56" i="7"/>
  <c r="N58" i="7" l="1"/>
  <c r="B57" i="7"/>
  <c r="N240" i="7"/>
  <c r="B239" i="7"/>
  <c r="N302" i="7"/>
  <c r="B301" i="7"/>
  <c r="N303" i="7" l="1"/>
  <c r="B302" i="7"/>
  <c r="N241" i="7"/>
  <c r="B240" i="7"/>
  <c r="N59" i="7"/>
  <c r="B58" i="7"/>
  <c r="N60" i="7" l="1"/>
  <c r="B59" i="7"/>
  <c r="N242" i="7"/>
  <c r="B241" i="7"/>
  <c r="N304" i="7"/>
  <c r="B303" i="7"/>
  <c r="N305" i="7" l="1"/>
  <c r="B304" i="7"/>
  <c r="N243" i="7"/>
  <c r="B242" i="7"/>
  <c r="N61" i="7"/>
  <c r="B60" i="7"/>
  <c r="N62" i="7" l="1"/>
  <c r="B61" i="7"/>
  <c r="N244" i="7"/>
  <c r="B243" i="7"/>
  <c r="N306" i="7"/>
  <c r="B305" i="7"/>
  <c r="N307" i="7" l="1"/>
  <c r="B306" i="7"/>
  <c r="N245" i="7"/>
  <c r="B244" i="7"/>
  <c r="N63" i="7"/>
  <c r="B62" i="7"/>
  <c r="N64" i="7" l="1"/>
  <c r="B63" i="7"/>
  <c r="N246" i="7"/>
  <c r="B245" i="7"/>
  <c r="N308" i="7"/>
  <c r="B307" i="7"/>
  <c r="N309" i="7" l="1"/>
  <c r="B308" i="7"/>
  <c r="N247" i="7"/>
  <c r="B246" i="7"/>
  <c r="N65" i="7"/>
  <c r="B64" i="7"/>
  <c r="N66" i="7" l="1"/>
  <c r="B65" i="7"/>
  <c r="N248" i="7"/>
  <c r="B247" i="7"/>
  <c r="N310" i="7"/>
  <c r="B309" i="7"/>
  <c r="N311" i="7" l="1"/>
  <c r="B310" i="7"/>
  <c r="N249" i="7"/>
  <c r="B248" i="7"/>
  <c r="N67" i="7"/>
  <c r="B66" i="7"/>
  <c r="N68" i="7" l="1"/>
  <c r="B67" i="7"/>
  <c r="N250" i="7"/>
  <c r="N251" i="7" s="1"/>
  <c r="B251" i="7" s="1"/>
  <c r="B249" i="7"/>
  <c r="N312" i="7"/>
  <c r="B311" i="7"/>
  <c r="N313" i="7" l="1"/>
  <c r="B312" i="7"/>
  <c r="B250" i="7"/>
  <c r="N69" i="7"/>
  <c r="B68" i="7"/>
  <c r="N70" i="7" l="1"/>
  <c r="B69" i="7"/>
  <c r="N252" i="7"/>
  <c r="B252" i="7" s="1"/>
  <c r="N314" i="7"/>
  <c r="B313" i="7"/>
  <c r="N315" i="7" l="1"/>
  <c r="B314" i="7"/>
  <c r="N71" i="7"/>
  <c r="B70" i="7"/>
  <c r="N72" i="7" l="1"/>
  <c r="B71" i="7"/>
  <c r="N316" i="7"/>
  <c r="B315" i="7"/>
  <c r="N317" i="7" l="1"/>
  <c r="B316" i="7"/>
  <c r="N73" i="7"/>
  <c r="B72" i="7"/>
  <c r="N74" i="7" l="1"/>
  <c r="B73" i="7"/>
  <c r="N318" i="7"/>
  <c r="B317" i="7"/>
  <c r="N319" i="7" l="1"/>
  <c r="B318" i="7"/>
  <c r="N75" i="7"/>
  <c r="B74" i="7"/>
  <c r="N76" i="7" l="1"/>
  <c r="B75" i="7"/>
  <c r="N320" i="7"/>
  <c r="B319" i="7"/>
  <c r="N321" i="7" l="1"/>
  <c r="B320" i="7"/>
  <c r="N77" i="7"/>
  <c r="B76" i="7"/>
  <c r="N78" i="7" l="1"/>
  <c r="B77" i="7"/>
  <c r="N322" i="7"/>
  <c r="B321" i="7"/>
  <c r="N323" i="7" l="1"/>
  <c r="B322" i="7"/>
  <c r="N79" i="7"/>
  <c r="B78" i="7"/>
  <c r="N80" i="7" l="1"/>
  <c r="B79" i="7"/>
  <c r="N324" i="7"/>
  <c r="B323" i="7"/>
  <c r="N325" i="7" l="1"/>
  <c r="B324" i="7"/>
  <c r="N81" i="7"/>
  <c r="B80" i="7"/>
  <c r="N82" i="7" l="1"/>
  <c r="B81" i="7"/>
  <c r="N326" i="7"/>
  <c r="B325" i="7"/>
  <c r="N327" i="7" l="1"/>
  <c r="B326" i="7"/>
  <c r="N83" i="7"/>
  <c r="B82" i="7"/>
  <c r="N84" i="7" l="1"/>
  <c r="B83" i="7"/>
  <c r="N328" i="7"/>
  <c r="B327" i="7"/>
  <c r="N329" i="7" l="1"/>
  <c r="B328" i="7"/>
  <c r="N85" i="7"/>
  <c r="B84" i="7"/>
  <c r="N86" i="7" l="1"/>
  <c r="B85" i="7"/>
  <c r="N330" i="7"/>
  <c r="B329" i="7"/>
  <c r="N331" i="7" l="1"/>
  <c r="B330" i="7"/>
  <c r="N87" i="7"/>
  <c r="B86" i="7"/>
  <c r="N88" i="7" l="1"/>
  <c r="B87" i="7"/>
  <c r="N332" i="7"/>
  <c r="B331" i="7"/>
  <c r="N333" i="7" l="1"/>
  <c r="B332" i="7"/>
  <c r="N89" i="7"/>
  <c r="B88" i="7"/>
  <c r="N90" i="7" l="1"/>
  <c r="B89" i="7"/>
  <c r="N334" i="7"/>
  <c r="B333" i="7"/>
  <c r="N335" i="7" l="1"/>
  <c r="B334" i="7"/>
  <c r="N91" i="7"/>
  <c r="B90" i="7"/>
  <c r="N92" i="7" l="1"/>
  <c r="B91" i="7"/>
  <c r="N336" i="7"/>
  <c r="B335" i="7"/>
  <c r="N337" i="7" l="1"/>
  <c r="B336" i="7"/>
  <c r="N93" i="7"/>
  <c r="B92" i="7"/>
  <c r="N94" i="7" l="1"/>
  <c r="B93" i="7"/>
  <c r="N338" i="7"/>
  <c r="B337" i="7"/>
  <c r="N339" i="7" l="1"/>
  <c r="B338" i="7"/>
  <c r="N95" i="7"/>
  <c r="B94" i="7"/>
  <c r="N96" i="7" l="1"/>
  <c r="B95" i="7"/>
  <c r="N340" i="7"/>
  <c r="B339" i="7"/>
  <c r="N341" i="7" l="1"/>
  <c r="B340" i="7"/>
  <c r="N97" i="7"/>
  <c r="B96" i="7"/>
  <c r="N98" i="7" l="1"/>
  <c r="B97" i="7"/>
  <c r="N342" i="7"/>
  <c r="B341" i="7"/>
  <c r="N343" i="7" l="1"/>
  <c r="B342" i="7"/>
  <c r="N99" i="7"/>
  <c r="B98" i="7"/>
  <c r="N100" i="7" l="1"/>
  <c r="B99" i="7"/>
  <c r="N344" i="7"/>
  <c r="B343" i="7"/>
  <c r="N345" i="7" l="1"/>
  <c r="B344" i="7"/>
  <c r="N101" i="7"/>
  <c r="B100" i="7"/>
  <c r="N102" i="7" l="1"/>
  <c r="B101" i="7"/>
  <c r="N346" i="7"/>
  <c r="B345" i="7"/>
  <c r="N347" i="7" l="1"/>
  <c r="B346" i="7"/>
  <c r="N103" i="7"/>
  <c r="B102" i="7"/>
  <c r="N104" i="7" l="1"/>
  <c r="B103" i="7"/>
  <c r="N348" i="7"/>
  <c r="B347" i="7"/>
  <c r="N349" i="7" l="1"/>
  <c r="B348" i="7"/>
  <c r="N105" i="7"/>
  <c r="B104" i="7"/>
  <c r="N106" i="7" l="1"/>
  <c r="B105" i="7"/>
  <c r="N350" i="7"/>
  <c r="B349" i="7"/>
  <c r="N351" i="7" l="1"/>
  <c r="B350" i="7"/>
  <c r="N107" i="7"/>
  <c r="B106" i="7"/>
  <c r="N108" i="7" l="1"/>
  <c r="B107" i="7"/>
  <c r="N352" i="7"/>
  <c r="B351" i="7"/>
  <c r="N353" i="7" l="1"/>
  <c r="B352" i="7"/>
  <c r="N109" i="7"/>
  <c r="B108" i="7"/>
  <c r="N110" i="7" l="1"/>
  <c r="B109" i="7"/>
  <c r="N354" i="7"/>
  <c r="B353" i="7"/>
  <c r="N355" i="7" l="1"/>
  <c r="B354" i="7"/>
  <c r="N111" i="7"/>
  <c r="B110" i="7"/>
  <c r="N112" i="7" l="1"/>
  <c r="B111" i="7"/>
  <c r="N356" i="7"/>
  <c r="B355" i="7"/>
  <c r="N357" i="7" l="1"/>
  <c r="B356" i="7"/>
  <c r="N113" i="7"/>
  <c r="B112" i="7"/>
  <c r="N114" i="7" l="1"/>
  <c r="B113" i="7"/>
  <c r="N358" i="7"/>
  <c r="B357" i="7"/>
  <c r="N359" i="7" l="1"/>
  <c r="B358" i="7"/>
  <c r="N115" i="7"/>
  <c r="B114" i="7"/>
  <c r="N116" i="7" l="1"/>
  <c r="B115" i="7"/>
  <c r="N360" i="7"/>
  <c r="B359" i="7"/>
  <c r="N361" i="7" l="1"/>
  <c r="B360" i="7"/>
  <c r="N117" i="7"/>
  <c r="B116" i="7"/>
  <c r="N118" i="7" l="1"/>
  <c r="B117" i="7"/>
  <c r="N362" i="7"/>
  <c r="B361" i="7"/>
  <c r="N363" i="7" l="1"/>
  <c r="B362" i="7"/>
  <c r="N119" i="7"/>
  <c r="B118" i="7"/>
  <c r="N120" i="7" l="1"/>
  <c r="B119" i="7"/>
  <c r="N364" i="7"/>
  <c r="B363" i="7"/>
  <c r="N365" i="7" l="1"/>
  <c r="B364" i="7"/>
  <c r="N121" i="7"/>
  <c r="B120" i="7"/>
  <c r="N122" i="7" l="1"/>
  <c r="B121" i="7"/>
  <c r="N366" i="7"/>
  <c r="B365" i="7"/>
  <c r="N367" i="7" l="1"/>
  <c r="B366" i="7"/>
  <c r="N123" i="7"/>
  <c r="B122" i="7"/>
  <c r="N124" i="7" l="1"/>
  <c r="B123" i="7"/>
  <c r="N368" i="7"/>
  <c r="B367" i="7"/>
  <c r="N369" i="7" l="1"/>
  <c r="B368" i="7"/>
  <c r="N125" i="7"/>
  <c r="B124" i="7"/>
  <c r="N126" i="7" l="1"/>
  <c r="B125" i="7"/>
  <c r="N370" i="7"/>
  <c r="B369" i="7"/>
  <c r="N371" i="7" l="1"/>
  <c r="B370" i="7"/>
  <c r="N127" i="7"/>
  <c r="B126" i="7"/>
  <c r="N128" i="7" l="1"/>
  <c r="B127" i="7"/>
  <c r="N372" i="7"/>
  <c r="B371" i="7"/>
  <c r="N373" i="7" l="1"/>
  <c r="B372" i="7"/>
  <c r="N129" i="7"/>
  <c r="B128" i="7"/>
  <c r="N130" i="7" l="1"/>
  <c r="B129" i="7"/>
  <c r="N374" i="7"/>
  <c r="B373" i="7"/>
  <c r="N375" i="7" l="1"/>
  <c r="B374" i="7"/>
  <c r="N131" i="7"/>
  <c r="B130" i="7"/>
  <c r="N132" i="7" l="1"/>
  <c r="B131" i="7"/>
  <c r="N376" i="7"/>
  <c r="B375" i="7"/>
  <c r="N377" i="7" l="1"/>
  <c r="B376" i="7"/>
  <c r="N133" i="7"/>
  <c r="B132" i="7"/>
  <c r="N134" i="7" l="1"/>
  <c r="B133" i="7"/>
  <c r="N378" i="7"/>
  <c r="B377" i="7"/>
  <c r="N379" i="7" l="1"/>
  <c r="B378" i="7"/>
  <c r="N135" i="7"/>
  <c r="B134" i="7"/>
  <c r="N136" i="7" l="1"/>
  <c r="B135" i="7"/>
  <c r="N380" i="7"/>
  <c r="B379" i="7"/>
  <c r="N381" i="7" l="1"/>
  <c r="B380" i="7"/>
  <c r="N137" i="7"/>
  <c r="B136" i="7"/>
  <c r="N138" i="7" l="1"/>
  <c r="B137" i="7"/>
  <c r="N382" i="7"/>
  <c r="B381" i="7"/>
  <c r="N383" i="7" l="1"/>
  <c r="B382" i="7"/>
  <c r="N139" i="7"/>
  <c r="B138" i="7"/>
  <c r="N140" i="7" l="1"/>
  <c r="B139" i="7"/>
  <c r="N384" i="7"/>
  <c r="B383" i="7"/>
  <c r="N385" i="7" l="1"/>
  <c r="B384" i="7"/>
  <c r="N141" i="7"/>
  <c r="B140" i="7"/>
  <c r="N142" i="7" l="1"/>
  <c r="B141" i="7"/>
  <c r="N386" i="7"/>
  <c r="B385" i="7"/>
  <c r="N387" i="7" l="1"/>
  <c r="B386" i="7"/>
  <c r="N143" i="7"/>
  <c r="B142" i="7"/>
  <c r="N144" i="7" l="1"/>
  <c r="B143" i="7"/>
  <c r="N388" i="7"/>
  <c r="B387" i="7"/>
  <c r="N389" i="7" l="1"/>
  <c r="B388" i="7"/>
  <c r="N145" i="7"/>
  <c r="B144" i="7"/>
  <c r="N146" i="7" l="1"/>
  <c r="B145" i="7"/>
  <c r="N390" i="7"/>
  <c r="B389" i="7"/>
  <c r="N391" i="7" l="1"/>
  <c r="B390" i="7"/>
  <c r="N147" i="7"/>
  <c r="B146" i="7"/>
  <c r="N148" i="7" l="1"/>
  <c r="B147" i="7"/>
  <c r="N392" i="7"/>
  <c r="B391" i="7"/>
  <c r="N393" i="7" l="1"/>
  <c r="B392" i="7"/>
  <c r="N149" i="7"/>
  <c r="B148" i="7"/>
  <c r="N150" i="7" l="1"/>
  <c r="B149" i="7"/>
  <c r="N394" i="7"/>
  <c r="B393" i="7"/>
  <c r="N395" i="7" l="1"/>
  <c r="B394" i="7"/>
  <c r="N151" i="7"/>
  <c r="B150" i="7"/>
  <c r="N152" i="7" l="1"/>
  <c r="B151" i="7"/>
  <c r="N396" i="7"/>
  <c r="B395" i="7"/>
  <c r="N397" i="7" l="1"/>
  <c r="B396" i="7"/>
  <c r="N153" i="7"/>
  <c r="B152" i="7"/>
  <c r="N154" i="7" l="1"/>
  <c r="B153" i="7"/>
  <c r="N398" i="7"/>
  <c r="B397" i="7"/>
  <c r="N399" i="7" l="1"/>
  <c r="B398" i="7"/>
  <c r="N155" i="7"/>
  <c r="B154" i="7"/>
  <c r="N156" i="7" l="1"/>
  <c r="B155" i="7"/>
  <c r="N400" i="7"/>
  <c r="B399" i="7"/>
  <c r="N401" i="7" l="1"/>
  <c r="B400" i="7"/>
  <c r="N157" i="7"/>
  <c r="B156" i="7"/>
  <c r="N158" i="7" l="1"/>
  <c r="B157" i="7"/>
  <c r="N402" i="7"/>
  <c r="B401" i="7"/>
  <c r="N403" i="7" l="1"/>
  <c r="B402" i="7"/>
  <c r="B158" i="7"/>
  <c r="N404" i="7" l="1"/>
  <c r="B403" i="7"/>
  <c r="N405" i="7" l="1"/>
  <c r="B404" i="7"/>
  <c r="N406" i="7" l="1"/>
  <c r="B405" i="7"/>
  <c r="N407" i="7" l="1"/>
  <c r="B406" i="7"/>
  <c r="N408" i="7" l="1"/>
  <c r="B407" i="7"/>
  <c r="N409" i="7" l="1"/>
  <c r="B408" i="7"/>
  <c r="N410" i="7" l="1"/>
  <c r="B409" i="7"/>
  <c r="N411" i="7" l="1"/>
  <c r="B410" i="7"/>
  <c r="N412" i="7" l="1"/>
  <c r="B411" i="7"/>
  <c r="N413" i="7" l="1"/>
  <c r="B412" i="7"/>
  <c r="N414" i="7" l="1"/>
  <c r="B413" i="7"/>
  <c r="N415" i="7" l="1"/>
  <c r="B414" i="7"/>
  <c r="N416" i="7" l="1"/>
  <c r="B415" i="7"/>
  <c r="N417" i="7" l="1"/>
  <c r="B416" i="7"/>
  <c r="N418" i="7" l="1"/>
  <c r="B417" i="7"/>
  <c r="N419" i="7" l="1"/>
  <c r="B418" i="7"/>
  <c r="N420" i="7" l="1"/>
  <c r="B419" i="7"/>
  <c r="N421" i="7" l="1"/>
  <c r="B420" i="7"/>
  <c r="N422" i="7" l="1"/>
  <c r="B421" i="7"/>
  <c r="N423" i="7" l="1"/>
  <c r="B422" i="7"/>
  <c r="N424" i="7" l="1"/>
  <c r="B423" i="7"/>
  <c r="N425" i="7" l="1"/>
  <c r="B424" i="7"/>
  <c r="N426" i="7" l="1"/>
  <c r="B425" i="7"/>
  <c r="N427" i="7" l="1"/>
  <c r="B426" i="7"/>
  <c r="N428" i="7" l="1"/>
  <c r="B427" i="7"/>
  <c r="N429" i="7" l="1"/>
  <c r="B428" i="7"/>
  <c r="N430" i="7" l="1"/>
  <c r="B429" i="7"/>
  <c r="N431" i="7" l="1"/>
  <c r="B430" i="7"/>
  <c r="N432" i="7" l="1"/>
  <c r="B431" i="7"/>
  <c r="N433" i="7" l="1"/>
  <c r="B432" i="7"/>
  <c r="N434" i="7" l="1"/>
  <c r="B433" i="7"/>
  <c r="N435" i="7" l="1"/>
  <c r="B434" i="7"/>
  <c r="N436" i="7" l="1"/>
  <c r="B435" i="7"/>
  <c r="N437" i="7" l="1"/>
  <c r="B436" i="7"/>
  <c r="N438" i="7" l="1"/>
  <c r="B437" i="7"/>
  <c r="N439" i="7" l="1"/>
  <c r="B438" i="7"/>
  <c r="N440" i="7" l="1"/>
  <c r="B439" i="7"/>
  <c r="N441" i="7" l="1"/>
  <c r="B440" i="7"/>
  <c r="N442" i="7" l="1"/>
  <c r="B441" i="7"/>
  <c r="N443" i="7" l="1"/>
  <c r="B442" i="7"/>
  <c r="N444" i="7" l="1"/>
  <c r="B443" i="7"/>
  <c r="N445" i="7" l="1"/>
  <c r="B444" i="7"/>
  <c r="N446" i="7" l="1"/>
  <c r="B445" i="7"/>
  <c r="N447" i="7" l="1"/>
  <c r="B446" i="7"/>
  <c r="N448" i="7" l="1"/>
  <c r="B447" i="7"/>
  <c r="N449" i="7" l="1"/>
  <c r="B448" i="7"/>
  <c r="N450" i="7" l="1"/>
  <c r="B449" i="7"/>
  <c r="N451" i="7" l="1"/>
  <c r="B450" i="7"/>
  <c r="N452" i="7" l="1"/>
  <c r="B451" i="7"/>
  <c r="N453" i="7" l="1"/>
  <c r="B452" i="7"/>
  <c r="N454" i="7" l="1"/>
  <c r="B453" i="7"/>
  <c r="N455" i="7" l="1"/>
  <c r="B454" i="7"/>
  <c r="N456" i="7" l="1"/>
  <c r="B455" i="7"/>
  <c r="N457" i="7" l="1"/>
  <c r="B456" i="7"/>
  <c r="N458" i="7" l="1"/>
  <c r="B457" i="7"/>
  <c r="N459" i="7" l="1"/>
  <c r="B458" i="7"/>
  <c r="N460" i="7" l="1"/>
  <c r="B459" i="7"/>
  <c r="N461" i="7" l="1"/>
  <c r="B460" i="7"/>
  <c r="N462" i="7" l="1"/>
  <c r="B461" i="7"/>
  <c r="N463" i="7" l="1"/>
  <c r="B462" i="7"/>
  <c r="N464" i="7" l="1"/>
  <c r="B463" i="7"/>
  <c r="N465" i="7" l="1"/>
  <c r="B464" i="7"/>
  <c r="N466" i="7" l="1"/>
  <c r="B465" i="7"/>
  <c r="N467" i="7" l="1"/>
  <c r="B466" i="7"/>
  <c r="N468" i="7" l="1"/>
  <c r="B467" i="7"/>
  <c r="N469" i="7" l="1"/>
  <c r="B468" i="7"/>
  <c r="N470" i="7" l="1"/>
  <c r="B469" i="7"/>
  <c r="N471" i="7" l="1"/>
  <c r="B470" i="7"/>
  <c r="N472" i="7" l="1"/>
  <c r="B471" i="7"/>
  <c r="N473" i="7" l="1"/>
  <c r="B472" i="7"/>
  <c r="N474" i="7" l="1"/>
  <c r="B473" i="7"/>
  <c r="N475" i="7" l="1"/>
  <c r="B474" i="7"/>
  <c r="N476" i="7" l="1"/>
  <c r="B475" i="7"/>
  <c r="N477" i="7" l="1"/>
  <c r="B476" i="7"/>
  <c r="N478" i="7" l="1"/>
  <c r="B477" i="7"/>
  <c r="N479" i="7" l="1"/>
  <c r="B478" i="7"/>
  <c r="N480" i="7" l="1"/>
  <c r="B479" i="7"/>
  <c r="N481" i="7" l="1"/>
  <c r="B480" i="7"/>
  <c r="N482" i="7" l="1"/>
  <c r="B481" i="7"/>
  <c r="N483" i="7" l="1"/>
  <c r="B482" i="7"/>
  <c r="N484" i="7" l="1"/>
  <c r="B483" i="7"/>
  <c r="N485" i="7" l="1"/>
  <c r="B484" i="7"/>
  <c r="N486" i="7" l="1"/>
  <c r="B485" i="7"/>
  <c r="N487" i="7" l="1"/>
  <c r="B486" i="7"/>
  <c r="N488" i="7" l="1"/>
  <c r="B487" i="7"/>
  <c r="N489" i="7" l="1"/>
  <c r="B488" i="7"/>
  <c r="N490" i="7" l="1"/>
  <c r="B489" i="7"/>
  <c r="N491" i="7" l="1"/>
  <c r="B490" i="7"/>
  <c r="N492" i="7" l="1"/>
  <c r="B491" i="7"/>
  <c r="N493" i="7" l="1"/>
  <c r="B492" i="7"/>
  <c r="N494" i="7" l="1"/>
  <c r="B493" i="7"/>
  <c r="N495" i="7" l="1"/>
  <c r="B494" i="7"/>
  <c r="N496" i="7" l="1"/>
  <c r="B495" i="7"/>
  <c r="N497" i="7" l="1"/>
  <c r="B496" i="7"/>
  <c r="N498" i="7" l="1"/>
  <c r="B497" i="7"/>
  <c r="N499" i="7" l="1"/>
  <c r="B498" i="7"/>
  <c r="N500" i="7" l="1"/>
  <c r="B499" i="7"/>
  <c r="N501" i="7" l="1"/>
  <c r="B500" i="7"/>
  <c r="N502" i="7" l="1"/>
  <c r="B501" i="7"/>
  <c r="N503" i="7" l="1"/>
  <c r="B502" i="7"/>
  <c r="N504" i="7" l="1"/>
  <c r="B503" i="7"/>
  <c r="N505" i="7" l="1"/>
  <c r="B504" i="7"/>
  <c r="N506" i="7" l="1"/>
  <c r="B505" i="7"/>
  <c r="N507" i="7" l="1"/>
  <c r="B506" i="7"/>
  <c r="N508" i="7" l="1"/>
  <c r="B507" i="7"/>
  <c r="N509" i="7" l="1"/>
  <c r="B508" i="7"/>
  <c r="N510" i="7" l="1"/>
  <c r="B509" i="7"/>
  <c r="N511" i="7" l="1"/>
  <c r="B510" i="7"/>
  <c r="N512" i="7" l="1"/>
  <c r="B511" i="7"/>
  <c r="N513" i="7" l="1"/>
  <c r="B512" i="7"/>
  <c r="N514" i="7" l="1"/>
  <c r="B513" i="7"/>
  <c r="N515" i="7" l="1"/>
  <c r="B514" i="7"/>
  <c r="N516" i="7" l="1"/>
  <c r="B515" i="7"/>
  <c r="N517" i="7" l="1"/>
  <c r="B516" i="7"/>
  <c r="N518" i="7" l="1"/>
  <c r="B517" i="7"/>
  <c r="N519" i="7" l="1"/>
  <c r="B518" i="7"/>
  <c r="N520" i="7" l="1"/>
  <c r="B519" i="7"/>
  <c r="N521" i="7" l="1"/>
  <c r="B520" i="7"/>
  <c r="N522" i="7" l="1"/>
  <c r="B521" i="7"/>
  <c r="N523" i="7" l="1"/>
  <c r="B522" i="7"/>
  <c r="N524" i="7" l="1"/>
  <c r="B523" i="7"/>
  <c r="N525" i="7" l="1"/>
  <c r="B524" i="7"/>
  <c r="N526" i="7" l="1"/>
  <c r="B525" i="7"/>
  <c r="N527" i="7" l="1"/>
  <c r="B526" i="7"/>
  <c r="N528" i="7" l="1"/>
  <c r="B527" i="7"/>
  <c r="N529" i="7" l="1"/>
  <c r="B528" i="7"/>
  <c r="N530" i="7" l="1"/>
  <c r="B529" i="7"/>
  <c r="N531" i="7" l="1"/>
  <c r="B530" i="7"/>
  <c r="N532" i="7" l="1"/>
  <c r="B531" i="7"/>
  <c r="N533" i="7" l="1"/>
  <c r="B532" i="7"/>
  <c r="N534" i="7" l="1"/>
  <c r="B533" i="7"/>
  <c r="N535" i="7" l="1"/>
  <c r="B534" i="7"/>
  <c r="N536" i="7" l="1"/>
  <c r="B535" i="7"/>
  <c r="N537" i="7" l="1"/>
  <c r="B536" i="7"/>
  <c r="N538" i="7" l="1"/>
  <c r="B537" i="7"/>
  <c r="N539" i="7" l="1"/>
  <c r="B538" i="7"/>
  <c r="N540" i="7" l="1"/>
  <c r="B539" i="7"/>
  <c r="N541" i="7" l="1"/>
  <c r="B540" i="7"/>
  <c r="N542" i="7" l="1"/>
  <c r="B541" i="7"/>
  <c r="N543" i="7" l="1"/>
  <c r="B542" i="7"/>
  <c r="N544" i="7" l="1"/>
  <c r="B543" i="7"/>
  <c r="N545" i="7" l="1"/>
  <c r="B544" i="7"/>
  <c r="N546" i="7" l="1"/>
  <c r="B545" i="7"/>
  <c r="N547" i="7" l="1"/>
  <c r="B546" i="7"/>
  <c r="N548" i="7" l="1"/>
  <c r="B547" i="7"/>
  <c r="N549" i="7" l="1"/>
  <c r="B548" i="7"/>
  <c r="N550" i="7" l="1"/>
  <c r="B549" i="7"/>
  <c r="N551" i="7" l="1"/>
  <c r="B550" i="7"/>
  <c r="N552" i="7" l="1"/>
  <c r="B551" i="7"/>
  <c r="N553" i="7" l="1"/>
  <c r="B552" i="7"/>
  <c r="N554" i="7" l="1"/>
  <c r="B553" i="7"/>
  <c r="N555" i="7" l="1"/>
  <c r="B554" i="7"/>
  <c r="N556" i="7" l="1"/>
  <c r="B555" i="7"/>
  <c r="N557" i="7" l="1"/>
  <c r="B556" i="7"/>
  <c r="N558" i="7" l="1"/>
  <c r="B557" i="7"/>
  <c r="N559" i="7" l="1"/>
  <c r="B558" i="7"/>
  <c r="N560" i="7" l="1"/>
  <c r="B559" i="7"/>
  <c r="N561" i="7" l="1"/>
  <c r="B560" i="7"/>
  <c r="N562" i="7" l="1"/>
  <c r="B561" i="7"/>
  <c r="N563" i="7" l="1"/>
  <c r="B562" i="7"/>
  <c r="N564" i="7" l="1"/>
  <c r="B563" i="7"/>
  <c r="N565" i="7" l="1"/>
  <c r="B564" i="7"/>
  <c r="N566" i="7" l="1"/>
  <c r="B565" i="7"/>
  <c r="N567" i="7" l="1"/>
  <c r="B566" i="7"/>
  <c r="N568" i="7" l="1"/>
  <c r="B567" i="7"/>
  <c r="N569" i="7" l="1"/>
  <c r="B568" i="7"/>
  <c r="N570" i="7" l="1"/>
  <c r="B569" i="7"/>
  <c r="N571" i="7" l="1"/>
  <c r="B570" i="7"/>
  <c r="N572" i="7" l="1"/>
  <c r="B571" i="7"/>
  <c r="N573" i="7" l="1"/>
  <c r="B572" i="7"/>
  <c r="N574" i="7" l="1"/>
  <c r="B573" i="7"/>
  <c r="N575" i="7" l="1"/>
  <c r="B574" i="7"/>
  <c r="N576" i="7" l="1"/>
  <c r="B575" i="7"/>
  <c r="N577" i="7" l="1"/>
  <c r="B576" i="7"/>
  <c r="N578" i="7" l="1"/>
  <c r="B577" i="7"/>
  <c r="N579" i="7" l="1"/>
  <c r="B578" i="7"/>
  <c r="N580" i="7" l="1"/>
  <c r="B579" i="7"/>
  <c r="N581" i="7" l="1"/>
  <c r="B580" i="7"/>
  <c r="N582" i="7" l="1"/>
  <c r="B581" i="7"/>
  <c r="N583" i="7" l="1"/>
  <c r="B582" i="7"/>
  <c r="N584" i="7" l="1"/>
  <c r="B583" i="7"/>
  <c r="N585" i="7" l="1"/>
  <c r="B584" i="7"/>
  <c r="N586" i="7" l="1"/>
  <c r="B585" i="7"/>
  <c r="N587" i="7" l="1"/>
  <c r="B586" i="7"/>
  <c r="N588" i="7" l="1"/>
  <c r="B587" i="7"/>
  <c r="N589" i="7" l="1"/>
  <c r="B588" i="7"/>
  <c r="N590" i="7" l="1"/>
  <c r="B589" i="7"/>
  <c r="N591" i="7" l="1"/>
  <c r="B590" i="7"/>
  <c r="N592" i="7" l="1"/>
  <c r="B591" i="7"/>
  <c r="N593" i="7" l="1"/>
  <c r="B592" i="7"/>
  <c r="N594" i="7" l="1"/>
  <c r="B593" i="7"/>
  <c r="N595" i="7" l="1"/>
  <c r="B594" i="7"/>
  <c r="N596" i="7" l="1"/>
  <c r="B595" i="7"/>
  <c r="N597" i="7" l="1"/>
  <c r="B596" i="7"/>
  <c r="N598" i="7" l="1"/>
  <c r="B597" i="7"/>
  <c r="N599" i="7" l="1"/>
  <c r="B598" i="7"/>
  <c r="N600" i="7" l="1"/>
  <c r="B599" i="7"/>
  <c r="N601" i="7" l="1"/>
  <c r="B600" i="7"/>
  <c r="N602" i="7" l="1"/>
  <c r="B601" i="7"/>
  <c r="N603" i="7" l="1"/>
  <c r="B602" i="7"/>
  <c r="N604" i="7" l="1"/>
  <c r="B603" i="7"/>
  <c r="N605" i="7" l="1"/>
  <c r="B604" i="7"/>
  <c r="N606" i="7" l="1"/>
  <c r="B605" i="7"/>
  <c r="N607" i="7" l="1"/>
  <c r="B606" i="7"/>
  <c r="N608" i="7" l="1"/>
  <c r="B607" i="7"/>
  <c r="N609" i="7" l="1"/>
  <c r="B608" i="7"/>
  <c r="N610" i="7" l="1"/>
  <c r="B609" i="7"/>
  <c r="N611" i="7" l="1"/>
  <c r="B610" i="7"/>
  <c r="N612" i="7" l="1"/>
  <c r="B611" i="7"/>
  <c r="N613" i="7" l="1"/>
  <c r="B612" i="7"/>
  <c r="N614" i="7" l="1"/>
  <c r="B613" i="7"/>
  <c r="N615" i="7" l="1"/>
  <c r="B614" i="7"/>
  <c r="N616" i="7" l="1"/>
  <c r="B615" i="7"/>
  <c r="N617" i="7" l="1"/>
  <c r="B616" i="7"/>
  <c r="N618" i="7" l="1"/>
  <c r="B617" i="7"/>
  <c r="N619" i="7" l="1"/>
  <c r="B618" i="7"/>
  <c r="N620" i="7" l="1"/>
  <c r="B619" i="7"/>
  <c r="N621" i="7" l="1"/>
  <c r="B620" i="7"/>
  <c r="N622" i="7" l="1"/>
  <c r="B621" i="7"/>
  <c r="N623" i="7" l="1"/>
  <c r="B622" i="7"/>
  <c r="N624" i="7" l="1"/>
  <c r="B623" i="7"/>
  <c r="N625" i="7" l="1"/>
  <c r="B624" i="7"/>
  <c r="N626" i="7" l="1"/>
  <c r="B625" i="7"/>
  <c r="N627" i="7" l="1"/>
  <c r="B626" i="7"/>
  <c r="N628" i="7" l="1"/>
  <c r="B627" i="7"/>
  <c r="N629" i="7" l="1"/>
  <c r="B628" i="7"/>
  <c r="N630" i="7" l="1"/>
  <c r="B629" i="7"/>
  <c r="N631" i="7" l="1"/>
  <c r="B630" i="7"/>
  <c r="N632" i="7" l="1"/>
  <c r="B631" i="7"/>
  <c r="N633" i="7" l="1"/>
  <c r="B632" i="7"/>
  <c r="N634" i="7" l="1"/>
  <c r="B633" i="7"/>
  <c r="N635" i="7" l="1"/>
  <c r="B634" i="7"/>
  <c r="N636" i="7" l="1"/>
  <c r="B635" i="7"/>
  <c r="N637" i="7" l="1"/>
  <c r="B636" i="7"/>
  <c r="N638" i="7" l="1"/>
  <c r="B637" i="7"/>
  <c r="N639" i="7" l="1"/>
  <c r="B638" i="7"/>
  <c r="N640" i="7" l="1"/>
  <c r="B639" i="7"/>
  <c r="N641" i="7" l="1"/>
  <c r="B640" i="7"/>
  <c r="N642" i="7" l="1"/>
  <c r="B641" i="7"/>
  <c r="N643" i="7" l="1"/>
  <c r="B642" i="7"/>
  <c r="N644" i="7" l="1"/>
  <c r="B643" i="7"/>
  <c r="N645" i="7" l="1"/>
  <c r="B644" i="7"/>
  <c r="N646" i="7" l="1"/>
  <c r="B645" i="7"/>
  <c r="N647" i="7" l="1"/>
  <c r="B646" i="7"/>
  <c r="N648" i="7" l="1"/>
  <c r="B647" i="7"/>
  <c r="N649" i="7" l="1"/>
  <c r="B648" i="7"/>
  <c r="N650" i="7" l="1"/>
  <c r="B649" i="7"/>
  <c r="N651" i="7" l="1"/>
  <c r="B650" i="7"/>
  <c r="N652" i="7" l="1"/>
  <c r="B651" i="7"/>
  <c r="N653" i="7" l="1"/>
  <c r="B652" i="7"/>
  <c r="N654" i="7" l="1"/>
  <c r="B653" i="7"/>
  <c r="N655" i="7" l="1"/>
  <c r="B654" i="7"/>
  <c r="N656" i="7" l="1"/>
  <c r="B655" i="7"/>
  <c r="N657" i="7" l="1"/>
  <c r="B656" i="7"/>
  <c r="N658" i="7" l="1"/>
  <c r="B657" i="7"/>
  <c r="N659" i="7" l="1"/>
  <c r="B658" i="7"/>
  <c r="N660" i="7" l="1"/>
  <c r="B659" i="7"/>
  <c r="N661" i="7" l="1"/>
  <c r="B660" i="7"/>
  <c r="N662" i="7" l="1"/>
  <c r="B661" i="7"/>
  <c r="N663" i="7" l="1"/>
  <c r="B662" i="7"/>
  <c r="N664" i="7" l="1"/>
  <c r="B663" i="7"/>
  <c r="N665" i="7" l="1"/>
  <c r="B664" i="7"/>
  <c r="N666" i="7" l="1"/>
  <c r="B665" i="7"/>
  <c r="N667" i="7" l="1"/>
  <c r="B666" i="7"/>
  <c r="N668" i="7" l="1"/>
  <c r="B667" i="7"/>
  <c r="N669" i="7" l="1"/>
  <c r="B668" i="7"/>
  <c r="N670" i="7" l="1"/>
  <c r="B669" i="7"/>
  <c r="N671" i="7" l="1"/>
  <c r="B670" i="7"/>
  <c r="N672" i="7" l="1"/>
  <c r="B671" i="7"/>
  <c r="N673" i="7" l="1"/>
  <c r="B672" i="7"/>
  <c r="N674" i="7" l="1"/>
  <c r="B673" i="7"/>
  <c r="N675" i="7" l="1"/>
  <c r="B674" i="7"/>
  <c r="N676" i="7" l="1"/>
  <c r="B675" i="7"/>
  <c r="N677" i="7" l="1"/>
  <c r="B676" i="7"/>
  <c r="N678" i="7" l="1"/>
  <c r="B677" i="7"/>
  <c r="N679" i="7" l="1"/>
  <c r="B678" i="7"/>
  <c r="N680" i="7" l="1"/>
  <c r="B679" i="7"/>
  <c r="N681" i="7" l="1"/>
  <c r="B680" i="7"/>
  <c r="N682" i="7" l="1"/>
  <c r="B681" i="7"/>
  <c r="N683" i="7" l="1"/>
  <c r="B682" i="7"/>
  <c r="N684" i="7" l="1"/>
  <c r="B683" i="7"/>
  <c r="N685" i="7" l="1"/>
  <c r="B684" i="7"/>
  <c r="N686" i="7" l="1"/>
  <c r="B685" i="7"/>
  <c r="N687" i="7" l="1"/>
  <c r="B686" i="7"/>
  <c r="N688" i="7" l="1"/>
  <c r="B687" i="7"/>
  <c r="N689" i="7" l="1"/>
  <c r="B688" i="7"/>
  <c r="N690" i="7" l="1"/>
  <c r="B689" i="7"/>
  <c r="N691" i="7" l="1"/>
  <c r="B690" i="7"/>
  <c r="N692" i="7" l="1"/>
  <c r="B691" i="7"/>
  <c r="N693" i="7" l="1"/>
  <c r="B692" i="7"/>
  <c r="N694" i="7" l="1"/>
  <c r="B693" i="7"/>
  <c r="N695" i="7" l="1"/>
  <c r="B694" i="7"/>
  <c r="N696" i="7" l="1"/>
  <c r="B695" i="7"/>
  <c r="N697" i="7" l="1"/>
  <c r="B696" i="7"/>
  <c r="N698" i="7" l="1"/>
  <c r="B697" i="7"/>
  <c r="N699" i="7" l="1"/>
  <c r="B698" i="7"/>
  <c r="N700" i="7" l="1"/>
  <c r="B699" i="7"/>
  <c r="N701" i="7" l="1"/>
  <c r="B700" i="7"/>
  <c r="N702" i="7" l="1"/>
  <c r="B701" i="7"/>
  <c r="N703" i="7" l="1"/>
  <c r="B702" i="7"/>
  <c r="N704" i="7" l="1"/>
  <c r="B703" i="7"/>
  <c r="N705" i="7" l="1"/>
  <c r="B704" i="7"/>
  <c r="N706" i="7" l="1"/>
  <c r="B705" i="7"/>
  <c r="N707" i="7" l="1"/>
  <c r="B706" i="7"/>
  <c r="N708" i="7" l="1"/>
  <c r="B707" i="7"/>
  <c r="N709" i="7" l="1"/>
  <c r="B708" i="7"/>
  <c r="N710" i="7" l="1"/>
  <c r="B709" i="7"/>
  <c r="N711" i="7" l="1"/>
  <c r="B710" i="7"/>
  <c r="N712" i="7" l="1"/>
  <c r="B711" i="7"/>
  <c r="N713" i="7" l="1"/>
  <c r="B712" i="7"/>
  <c r="N714" i="7" l="1"/>
  <c r="B713" i="7"/>
  <c r="N715" i="7" l="1"/>
  <c r="B714" i="7"/>
  <c r="N716" i="7" l="1"/>
  <c r="B715" i="7"/>
  <c r="N717" i="7" l="1"/>
  <c r="B716" i="7"/>
  <c r="N718" i="7" l="1"/>
  <c r="B717" i="7"/>
  <c r="N719" i="7" l="1"/>
  <c r="B718" i="7"/>
  <c r="N720" i="7" l="1"/>
  <c r="B719" i="7"/>
  <c r="N721" i="7" l="1"/>
  <c r="B720" i="7"/>
  <c r="N722" i="7" l="1"/>
  <c r="B721" i="7"/>
  <c r="N723" i="7" l="1"/>
  <c r="B722" i="7"/>
  <c r="N724" i="7" l="1"/>
  <c r="B723" i="7"/>
  <c r="N725" i="7" l="1"/>
  <c r="B724" i="7"/>
  <c r="N726" i="7" l="1"/>
  <c r="B725" i="7"/>
  <c r="N727" i="7" l="1"/>
  <c r="B726" i="7"/>
  <c r="N728" i="7" l="1"/>
  <c r="B727" i="7"/>
  <c r="N729" i="7" l="1"/>
  <c r="B728" i="7"/>
  <c r="N730" i="7" l="1"/>
  <c r="B729" i="7"/>
  <c r="N731" i="7" l="1"/>
  <c r="B730" i="7"/>
  <c r="N732" i="7" l="1"/>
  <c r="B731" i="7"/>
  <c r="N733" i="7" l="1"/>
  <c r="B732" i="7"/>
  <c r="N734" i="7" l="1"/>
  <c r="B733" i="7"/>
  <c r="N735" i="7" l="1"/>
  <c r="B734" i="7"/>
  <c r="N736" i="7" l="1"/>
  <c r="B735" i="7"/>
  <c r="N737" i="7" l="1"/>
  <c r="B736" i="7"/>
  <c r="N738" i="7" l="1"/>
  <c r="B737" i="7"/>
  <c r="N739" i="7" l="1"/>
  <c r="B738" i="7"/>
  <c r="N740" i="7" l="1"/>
  <c r="B739" i="7"/>
  <c r="N741" i="7" l="1"/>
  <c r="B740" i="7"/>
  <c r="N742" i="7" l="1"/>
  <c r="B741" i="7"/>
  <c r="N743" i="7" l="1"/>
  <c r="B742" i="7"/>
  <c r="N744" i="7" l="1"/>
  <c r="B743" i="7"/>
  <c r="N745" i="7" l="1"/>
  <c r="B744" i="7"/>
  <c r="N746" i="7" l="1"/>
  <c r="B745" i="7"/>
  <c r="N747" i="7" l="1"/>
  <c r="B746" i="7"/>
  <c r="N748" i="7" l="1"/>
  <c r="B747" i="7"/>
  <c r="N749" i="7" l="1"/>
  <c r="B748" i="7"/>
  <c r="N750" i="7" l="1"/>
  <c r="B749" i="7"/>
  <c r="N751" i="7" l="1"/>
  <c r="B750" i="7"/>
  <c r="N752" i="7" l="1"/>
  <c r="B751" i="7"/>
  <c r="N753" i="7" l="1"/>
  <c r="B752" i="7"/>
  <c r="N754" i="7" l="1"/>
  <c r="B753" i="7"/>
  <c r="N755" i="7" l="1"/>
  <c r="B754" i="7"/>
  <c r="N756" i="7" l="1"/>
  <c r="B755" i="7"/>
  <c r="N757" i="7" l="1"/>
  <c r="B756" i="7"/>
  <c r="N758" i="7" l="1"/>
  <c r="B757" i="7"/>
  <c r="N759" i="7" l="1"/>
  <c r="B758" i="7"/>
  <c r="N760" i="7" l="1"/>
  <c r="B759" i="7"/>
  <c r="N761" i="7" l="1"/>
  <c r="B760" i="7"/>
  <c r="N762" i="7" l="1"/>
  <c r="B761" i="7"/>
  <c r="N763" i="7" l="1"/>
  <c r="B762" i="7"/>
  <c r="N764" i="7" l="1"/>
  <c r="B763" i="7"/>
  <c r="N765" i="7" l="1"/>
  <c r="B764" i="7"/>
  <c r="N766" i="7" l="1"/>
  <c r="B765" i="7"/>
  <c r="N767" i="7" l="1"/>
  <c r="B766" i="7"/>
  <c r="N768" i="7" l="1"/>
  <c r="B767" i="7"/>
  <c r="N769" i="7" l="1"/>
  <c r="B768" i="7"/>
  <c r="N770" i="7" l="1"/>
  <c r="B769" i="7"/>
  <c r="N771" i="7" l="1"/>
  <c r="B770" i="7"/>
  <c r="N772" i="7" l="1"/>
  <c r="B771" i="7"/>
  <c r="N773" i="7" l="1"/>
  <c r="B772" i="7"/>
  <c r="N774" i="7" l="1"/>
  <c r="B773" i="7"/>
  <c r="N775" i="7" l="1"/>
  <c r="B774" i="7"/>
  <c r="N776" i="7" l="1"/>
  <c r="B775" i="7"/>
  <c r="N777" i="7" l="1"/>
  <c r="B776" i="7"/>
  <c r="N778" i="7" l="1"/>
  <c r="B777" i="7"/>
  <c r="N779" i="7" l="1"/>
  <c r="B778" i="7"/>
  <c r="N780" i="7" l="1"/>
  <c r="B779" i="7"/>
  <c r="N781" i="7" l="1"/>
  <c r="B780" i="7"/>
  <c r="N782" i="7" l="1"/>
  <c r="B781" i="7"/>
  <c r="N783" i="7" l="1"/>
  <c r="B782" i="7"/>
  <c r="N784" i="7" l="1"/>
  <c r="B783" i="7"/>
  <c r="N785" i="7" l="1"/>
  <c r="B784" i="7"/>
  <c r="N786" i="7" l="1"/>
  <c r="B785" i="7"/>
  <c r="N787" i="7" l="1"/>
  <c r="B786" i="7"/>
  <c r="N788" i="7" l="1"/>
  <c r="B787" i="7"/>
  <c r="N789" i="7" l="1"/>
  <c r="B788" i="7"/>
  <c r="N790" i="7" l="1"/>
  <c r="B789" i="7"/>
  <c r="N791" i="7" l="1"/>
  <c r="B790" i="7"/>
  <c r="N792" i="7" l="1"/>
  <c r="B791" i="7"/>
  <c r="N793" i="7" l="1"/>
  <c r="B792" i="7"/>
  <c r="N794" i="7" l="1"/>
  <c r="B793" i="7"/>
  <c r="N795" i="7" l="1"/>
  <c r="B794" i="7"/>
  <c r="N796" i="7" l="1"/>
  <c r="B795" i="7"/>
  <c r="N797" i="7" l="1"/>
  <c r="B796" i="7"/>
  <c r="N798" i="7" l="1"/>
  <c r="B797" i="7"/>
  <c r="N799" i="7" l="1"/>
  <c r="B798" i="7"/>
  <c r="N800" i="7" l="1"/>
  <c r="B799" i="7"/>
  <c r="N801" i="7" l="1"/>
  <c r="B800" i="7"/>
  <c r="N802" i="7" l="1"/>
  <c r="B801" i="7"/>
  <c r="N803" i="7" l="1"/>
  <c r="B802" i="7"/>
  <c r="N804" i="7" l="1"/>
  <c r="B803" i="7"/>
  <c r="N805" i="7" l="1"/>
  <c r="B804" i="7"/>
  <c r="N806" i="7" l="1"/>
  <c r="B805" i="7"/>
  <c r="N807" i="7" l="1"/>
  <c r="B806" i="7"/>
  <c r="N808" i="7" l="1"/>
  <c r="B807" i="7"/>
  <c r="N809" i="7" l="1"/>
  <c r="B808" i="7"/>
  <c r="N810" i="7" l="1"/>
  <c r="B809" i="7"/>
  <c r="N811" i="7" l="1"/>
  <c r="B810" i="7"/>
  <c r="N812" i="7" l="1"/>
  <c r="B811" i="7"/>
  <c r="N813" i="7" l="1"/>
  <c r="B812" i="7"/>
  <c r="N814" i="7" l="1"/>
  <c r="B813" i="7"/>
  <c r="N815" i="7" l="1"/>
  <c r="B814" i="7"/>
  <c r="N816" i="7" l="1"/>
  <c r="B815" i="7"/>
  <c r="N817" i="7" l="1"/>
  <c r="B816" i="7"/>
  <c r="N818" i="7" l="1"/>
  <c r="B817" i="7"/>
  <c r="N819" i="7" l="1"/>
  <c r="B818" i="7"/>
  <c r="N820" i="7" l="1"/>
  <c r="B819" i="7"/>
  <c r="N821" i="7" l="1"/>
  <c r="B820" i="7"/>
  <c r="N822" i="7" l="1"/>
  <c r="B821" i="7"/>
  <c r="N823" i="7" l="1"/>
  <c r="B822" i="7"/>
  <c r="N824" i="7" l="1"/>
  <c r="B823" i="7"/>
  <c r="N825" i="7" l="1"/>
  <c r="B824" i="7"/>
  <c r="N826" i="7" l="1"/>
  <c r="B825" i="7"/>
  <c r="N827" i="7" l="1"/>
  <c r="B826" i="7"/>
  <c r="N828" i="7" l="1"/>
  <c r="B827" i="7"/>
  <c r="N829" i="7" l="1"/>
  <c r="B828" i="7"/>
  <c r="N830" i="7" l="1"/>
  <c r="B829" i="7"/>
  <c r="N831" i="7" l="1"/>
  <c r="B830" i="7"/>
  <c r="N832" i="7" l="1"/>
  <c r="B831" i="7"/>
  <c r="N833" i="7" l="1"/>
  <c r="B832" i="7"/>
  <c r="N834" i="7" l="1"/>
  <c r="B833" i="7"/>
  <c r="N835" i="7" l="1"/>
  <c r="B834" i="7"/>
  <c r="N836" i="7" l="1"/>
  <c r="B835" i="7"/>
  <c r="N837" i="7" l="1"/>
  <c r="B836" i="7"/>
  <c r="N838" i="7" l="1"/>
  <c r="B837" i="7"/>
  <c r="N839" i="7" l="1"/>
  <c r="B838" i="7"/>
  <c r="N840" i="7" l="1"/>
  <c r="B839" i="7"/>
  <c r="N841" i="7" l="1"/>
  <c r="B840" i="7"/>
  <c r="N842" i="7" l="1"/>
  <c r="B841" i="7"/>
  <c r="N843" i="7" l="1"/>
  <c r="B842" i="7"/>
  <c r="N844" i="7" l="1"/>
  <c r="B843" i="7"/>
  <c r="N845" i="7" l="1"/>
  <c r="B844" i="7"/>
  <c r="N846" i="7" l="1"/>
  <c r="B845" i="7"/>
  <c r="N847" i="7" l="1"/>
  <c r="B846" i="7"/>
  <c r="N848" i="7" l="1"/>
  <c r="B847" i="7"/>
  <c r="N849" i="7" l="1"/>
  <c r="B848" i="7"/>
  <c r="N850" i="7" l="1"/>
  <c r="B849" i="7"/>
  <c r="N851" i="7" l="1"/>
  <c r="B850" i="7"/>
  <c r="N852" i="7" l="1"/>
  <c r="B851" i="7"/>
  <c r="N853" i="7" l="1"/>
  <c r="B852" i="7"/>
  <c r="N854" i="7" l="1"/>
  <c r="B853" i="7"/>
  <c r="N855" i="7" l="1"/>
  <c r="B854" i="7"/>
  <c r="N856" i="7" l="1"/>
  <c r="B855" i="7"/>
  <c r="N857" i="7" l="1"/>
  <c r="B856" i="7"/>
  <c r="N858" i="7" l="1"/>
  <c r="B857" i="7"/>
  <c r="N859" i="7" l="1"/>
  <c r="B858" i="7"/>
  <c r="N860" i="7" l="1"/>
  <c r="B859" i="7"/>
  <c r="N861" i="7" l="1"/>
  <c r="B860" i="7"/>
  <c r="N862" i="7" l="1"/>
  <c r="B861" i="7"/>
  <c r="N863" i="7" l="1"/>
  <c r="B862" i="7"/>
  <c r="N864" i="7" l="1"/>
  <c r="B863" i="7"/>
  <c r="N865" i="7" l="1"/>
  <c r="B864" i="7"/>
  <c r="N866" i="7" l="1"/>
  <c r="B865" i="7"/>
  <c r="N867" i="7" l="1"/>
  <c r="B866" i="7"/>
  <c r="N868" i="7" l="1"/>
  <c r="B867" i="7"/>
  <c r="N869" i="7" l="1"/>
  <c r="B868" i="7"/>
  <c r="N870" i="7" l="1"/>
  <c r="B869" i="7"/>
  <c r="N871" i="7" l="1"/>
  <c r="B870" i="7"/>
  <c r="N872" i="7" l="1"/>
  <c r="B871" i="7"/>
  <c r="N873" i="7" l="1"/>
  <c r="B872" i="7"/>
  <c r="N874" i="7" l="1"/>
  <c r="B873" i="7"/>
  <c r="N875" i="7" l="1"/>
  <c r="B874" i="7"/>
  <c r="N876" i="7" l="1"/>
  <c r="B875" i="7"/>
  <c r="N877" i="7" l="1"/>
  <c r="B876" i="7"/>
  <c r="N878" i="7" l="1"/>
  <c r="B877" i="7"/>
  <c r="N879" i="7" l="1"/>
  <c r="B878" i="7"/>
  <c r="N880" i="7" l="1"/>
  <c r="B879" i="7"/>
  <c r="N881" i="7" l="1"/>
  <c r="B880" i="7"/>
  <c r="N882" i="7" l="1"/>
  <c r="B881" i="7"/>
  <c r="N883" i="7" l="1"/>
  <c r="B882" i="7"/>
  <c r="N884" i="7" l="1"/>
  <c r="B883" i="7"/>
  <c r="N885" i="7" l="1"/>
  <c r="B884" i="7"/>
  <c r="N886" i="7" l="1"/>
  <c r="B885" i="7"/>
  <c r="N887" i="7" l="1"/>
  <c r="B886" i="7"/>
  <c r="N888" i="7" l="1"/>
  <c r="B887" i="7"/>
  <c r="N889" i="7" l="1"/>
  <c r="B888" i="7"/>
  <c r="N890" i="7" l="1"/>
  <c r="B889" i="7"/>
  <c r="N891" i="7" l="1"/>
  <c r="B890" i="7"/>
  <c r="N892" i="7" l="1"/>
  <c r="B891" i="7"/>
  <c r="N893" i="7" l="1"/>
  <c r="B892" i="7"/>
  <c r="N894" i="7" l="1"/>
  <c r="B893" i="7"/>
  <c r="N895" i="7" l="1"/>
  <c r="B894" i="7"/>
  <c r="N896" i="7" l="1"/>
  <c r="B895" i="7"/>
  <c r="N897" i="7" l="1"/>
  <c r="B896" i="7"/>
  <c r="N898" i="7" l="1"/>
  <c r="B897" i="7"/>
  <c r="N899" i="7" l="1"/>
  <c r="B898" i="7"/>
  <c r="N900" i="7" l="1"/>
  <c r="B899" i="7"/>
  <c r="N901" i="7" l="1"/>
  <c r="B900" i="7"/>
  <c r="N902" i="7" l="1"/>
  <c r="B901" i="7"/>
  <c r="N903" i="7" l="1"/>
  <c r="B902" i="7"/>
  <c r="N904" i="7" l="1"/>
  <c r="B903" i="7"/>
  <c r="N905" i="7" l="1"/>
  <c r="B904" i="7"/>
  <c r="N906" i="7" l="1"/>
  <c r="B905" i="7"/>
  <c r="N907" i="7" l="1"/>
  <c r="B906" i="7"/>
  <c r="N908" i="7" l="1"/>
  <c r="B907" i="7"/>
  <c r="N909" i="7" l="1"/>
  <c r="B908" i="7"/>
  <c r="N910" i="7" l="1"/>
  <c r="B909" i="7"/>
  <c r="N911" i="7" l="1"/>
  <c r="B910" i="7"/>
  <c r="N912" i="7" l="1"/>
  <c r="B911" i="7"/>
  <c r="N913" i="7" l="1"/>
  <c r="B912" i="7"/>
  <c r="N914" i="7" l="1"/>
  <c r="B913" i="7"/>
  <c r="N915" i="7" l="1"/>
  <c r="B914" i="7"/>
  <c r="N916" i="7" l="1"/>
  <c r="B915" i="7"/>
  <c r="N917" i="7" l="1"/>
  <c r="B916" i="7"/>
  <c r="N918" i="7" l="1"/>
  <c r="B917" i="7"/>
  <c r="N919" i="7" l="1"/>
  <c r="B918" i="7"/>
  <c r="N920" i="7" l="1"/>
  <c r="B919" i="7"/>
  <c r="N921" i="7" l="1"/>
  <c r="B920" i="7"/>
  <c r="N922" i="7" l="1"/>
  <c r="B921" i="7"/>
  <c r="N923" i="7" l="1"/>
  <c r="B922" i="7"/>
  <c r="N924" i="7" l="1"/>
  <c r="B923" i="7"/>
  <c r="N925" i="7" l="1"/>
  <c r="B924" i="7"/>
  <c r="N926" i="7" l="1"/>
  <c r="B925" i="7"/>
  <c r="N927" i="7" l="1"/>
  <c r="B926" i="7"/>
  <c r="N928" i="7" l="1"/>
  <c r="B927" i="7"/>
  <c r="N929" i="7" l="1"/>
  <c r="B928" i="7"/>
  <c r="N930" i="7" l="1"/>
  <c r="B929" i="7"/>
  <c r="N931" i="7" l="1"/>
  <c r="B930" i="7"/>
  <c r="N932" i="7" l="1"/>
  <c r="B931" i="7"/>
  <c r="N933" i="7" l="1"/>
  <c r="B932" i="7"/>
  <c r="N934" i="7" l="1"/>
  <c r="B933" i="7"/>
  <c r="N935" i="7" l="1"/>
  <c r="B934" i="7"/>
  <c r="N936" i="7" l="1"/>
  <c r="B935" i="7"/>
  <c r="N937" i="7" l="1"/>
  <c r="B936" i="7"/>
  <c r="N938" i="7" l="1"/>
  <c r="B937" i="7"/>
  <c r="N939" i="7" l="1"/>
  <c r="B938" i="7"/>
  <c r="N940" i="7" l="1"/>
  <c r="B939" i="7"/>
  <c r="N941" i="7" l="1"/>
  <c r="B940" i="7"/>
  <c r="N942" i="7" l="1"/>
  <c r="B941" i="7"/>
  <c r="N943" i="7" l="1"/>
  <c r="B942" i="7"/>
  <c r="N944" i="7" l="1"/>
  <c r="B943" i="7"/>
  <c r="N945" i="7" l="1"/>
  <c r="B944" i="7"/>
  <c r="N946" i="7" l="1"/>
  <c r="B945" i="7"/>
  <c r="N947" i="7" l="1"/>
  <c r="B946" i="7"/>
  <c r="N948" i="7" l="1"/>
  <c r="B947" i="7"/>
  <c r="N949" i="7" l="1"/>
  <c r="B948" i="7"/>
  <c r="N950" i="7" l="1"/>
  <c r="B949" i="7"/>
  <c r="N951" i="7" l="1"/>
  <c r="B950" i="7"/>
  <c r="N952" i="7" l="1"/>
  <c r="B951" i="7"/>
  <c r="N953" i="7" l="1"/>
  <c r="B952" i="7"/>
  <c r="N954" i="7" l="1"/>
  <c r="B953" i="7"/>
  <c r="N955" i="7" l="1"/>
  <c r="B954" i="7"/>
  <c r="N956" i="7" l="1"/>
  <c r="B955" i="7"/>
  <c r="N957" i="7" l="1"/>
  <c r="B956" i="7"/>
  <c r="N958" i="7" l="1"/>
  <c r="B957" i="7"/>
  <c r="N959" i="7" l="1"/>
  <c r="B958" i="7"/>
  <c r="N960" i="7" l="1"/>
  <c r="B959" i="7"/>
  <c r="N961" i="7" l="1"/>
  <c r="B960" i="7"/>
  <c r="N962" i="7" l="1"/>
  <c r="B961" i="7"/>
  <c r="N963" i="7" l="1"/>
  <c r="B962" i="7"/>
  <c r="N964" i="7" l="1"/>
  <c r="B963" i="7"/>
  <c r="N965" i="7" l="1"/>
  <c r="B964" i="7"/>
  <c r="N966" i="7" l="1"/>
  <c r="B965" i="7"/>
  <c r="N967" i="7" l="1"/>
  <c r="B966" i="7"/>
  <c r="N968" i="7" l="1"/>
  <c r="B967" i="7"/>
  <c r="N969" i="7" l="1"/>
  <c r="B968" i="7"/>
  <c r="N970" i="7" l="1"/>
  <c r="B969" i="7"/>
  <c r="N971" i="7" l="1"/>
  <c r="B970" i="7"/>
  <c r="N972" i="7" l="1"/>
  <c r="B971" i="7"/>
  <c r="N973" i="7" l="1"/>
  <c r="B972" i="7"/>
  <c r="N974" i="7" l="1"/>
  <c r="B973" i="7"/>
  <c r="N975" i="7" l="1"/>
  <c r="B974" i="7"/>
  <c r="N976" i="7" l="1"/>
  <c r="B975" i="7"/>
  <c r="N977" i="7" l="1"/>
  <c r="B976" i="7"/>
  <c r="N978" i="7" l="1"/>
  <c r="B977" i="7"/>
  <c r="N979" i="7" l="1"/>
  <c r="B978" i="7"/>
  <c r="N980" i="7" l="1"/>
  <c r="B979" i="7"/>
  <c r="N981" i="7" l="1"/>
  <c r="B980" i="7"/>
  <c r="N982" i="7" l="1"/>
  <c r="B981" i="7"/>
  <c r="N983" i="7" l="1"/>
  <c r="B982" i="7"/>
  <c r="N984" i="7" l="1"/>
  <c r="B983" i="7"/>
  <c r="N985" i="7" l="1"/>
  <c r="B984" i="7"/>
  <c r="N986" i="7" l="1"/>
  <c r="B985" i="7"/>
  <c r="N987" i="7" l="1"/>
  <c r="B986" i="7"/>
  <c r="N988" i="7" l="1"/>
  <c r="B987" i="7"/>
  <c r="N989" i="7" l="1"/>
  <c r="B988" i="7"/>
  <c r="N990" i="7" l="1"/>
  <c r="B989" i="7"/>
  <c r="N991" i="7" l="1"/>
  <c r="B990" i="7"/>
  <c r="N992" i="7" l="1"/>
  <c r="B991" i="7"/>
  <c r="N993" i="7" l="1"/>
  <c r="B992" i="7"/>
  <c r="N994" i="7" l="1"/>
  <c r="B993" i="7"/>
  <c r="N995" i="7" l="1"/>
  <c r="B994" i="7"/>
  <c r="N996" i="7" l="1"/>
  <c r="B995" i="7"/>
  <c r="N997" i="7" l="1"/>
  <c r="B996" i="7"/>
  <c r="N998" i="7" l="1"/>
  <c r="B997" i="7"/>
  <c r="N999" i="7" l="1"/>
  <c r="B998" i="7"/>
  <c r="N1000" i="7" l="1"/>
  <c r="B999" i="7"/>
  <c r="N1001" i="7" l="1"/>
  <c r="B1000" i="7"/>
  <c r="N1002" i="7" l="1"/>
  <c r="B1001" i="7"/>
  <c r="N1003" i="7" l="1"/>
  <c r="B1002" i="7"/>
  <c r="N1004" i="7" l="1"/>
  <c r="B1003" i="7"/>
  <c r="N1005" i="7" l="1"/>
  <c r="B1004" i="7"/>
  <c r="N1006" i="7" l="1"/>
  <c r="B1005" i="7"/>
  <c r="N1007" i="7" l="1"/>
  <c r="B1006" i="7"/>
  <c r="N1008" i="7" l="1"/>
  <c r="B1007" i="7"/>
  <c r="N1009" i="7" l="1"/>
  <c r="B1008" i="7"/>
  <c r="N1010" i="7" l="1"/>
  <c r="B1009" i="7"/>
  <c r="N1011" i="7" l="1"/>
  <c r="B1010" i="7"/>
  <c r="N1012" i="7" l="1"/>
  <c r="B1011" i="7"/>
  <c r="N1013" i="7" l="1"/>
  <c r="B1012" i="7"/>
  <c r="N1014" i="7" l="1"/>
  <c r="B1013" i="7"/>
  <c r="N1015" i="7" l="1"/>
  <c r="B1014" i="7"/>
  <c r="N1016" i="7" l="1"/>
  <c r="B1015" i="7"/>
  <c r="N1017" i="7" l="1"/>
  <c r="B1016" i="7"/>
  <c r="N1018" i="7" l="1"/>
  <c r="B1017" i="7"/>
  <c r="N1019" i="7" l="1"/>
  <c r="B1018" i="7"/>
  <c r="N1020" i="7" l="1"/>
  <c r="B1019" i="7"/>
  <c r="N1021" i="7" l="1"/>
  <c r="B1020" i="7"/>
  <c r="N1022" i="7" l="1"/>
  <c r="B1021" i="7"/>
  <c r="N1023" i="7" l="1"/>
  <c r="B1022" i="7"/>
  <c r="N1024" i="7" l="1"/>
  <c r="B1023" i="7"/>
  <c r="N1025" i="7" l="1"/>
  <c r="B1024" i="7"/>
  <c r="N1026" i="7" l="1"/>
  <c r="B1025" i="7"/>
  <c r="N1027" i="7" l="1"/>
  <c r="B1026" i="7"/>
  <c r="N1028" i="7" l="1"/>
  <c r="B1027" i="7"/>
  <c r="N1029" i="7" l="1"/>
  <c r="B1028" i="7"/>
  <c r="N1030" i="7" l="1"/>
  <c r="B1029" i="7"/>
  <c r="N1031" i="7" l="1"/>
  <c r="B1030" i="7"/>
  <c r="N1032" i="7" l="1"/>
  <c r="B1031" i="7"/>
  <c r="N1033" i="7" l="1"/>
  <c r="B1032" i="7"/>
  <c r="N1034" i="7" l="1"/>
  <c r="B1033" i="7"/>
  <c r="N1035" i="7" l="1"/>
  <c r="B1034" i="7"/>
  <c r="N1036" i="7" l="1"/>
  <c r="B1035" i="7"/>
  <c r="N1037" i="7" l="1"/>
  <c r="B1036" i="7"/>
  <c r="N1038" i="7" l="1"/>
  <c r="B1037" i="7"/>
  <c r="N1039" i="7" l="1"/>
  <c r="B1038" i="7"/>
  <c r="N1040" i="7" l="1"/>
  <c r="B1039" i="7"/>
  <c r="N1041" i="7" l="1"/>
  <c r="B1040" i="7"/>
  <c r="N1042" i="7" l="1"/>
  <c r="B1041" i="7"/>
  <c r="N1043" i="7" l="1"/>
  <c r="B1042" i="7"/>
  <c r="N1044" i="7" l="1"/>
  <c r="B1043" i="7"/>
  <c r="N1045" i="7" l="1"/>
  <c r="B1044" i="7"/>
  <c r="N1046" i="7" l="1"/>
  <c r="B1045" i="7"/>
  <c r="N1047" i="7" l="1"/>
  <c r="B1046" i="7"/>
  <c r="N1048" i="7" l="1"/>
  <c r="B1047" i="7"/>
  <c r="N1049" i="7" l="1"/>
  <c r="B1048" i="7"/>
  <c r="N1050" i="7" l="1"/>
  <c r="B1049" i="7"/>
  <c r="N1051" i="7" l="1"/>
  <c r="B1050" i="7"/>
  <c r="N1052" i="7" l="1"/>
  <c r="B1051" i="7"/>
  <c r="N1053" i="7" l="1"/>
  <c r="B1052" i="7"/>
  <c r="N1054" i="7" l="1"/>
  <c r="B1053" i="7"/>
  <c r="N1055" i="7" l="1"/>
  <c r="B1054" i="7"/>
  <c r="N1056" i="7" l="1"/>
  <c r="B1055" i="7"/>
  <c r="N1057" i="7" l="1"/>
  <c r="B1056" i="7"/>
  <c r="N1058" i="7" l="1"/>
  <c r="B1057" i="7"/>
  <c r="N1059" i="7" l="1"/>
  <c r="B1058" i="7"/>
  <c r="N1060" i="7" l="1"/>
  <c r="B1059" i="7"/>
  <c r="N1061" i="7" l="1"/>
  <c r="B1060" i="7"/>
  <c r="N1062" i="7" l="1"/>
  <c r="B1061" i="7"/>
  <c r="N1063" i="7" l="1"/>
  <c r="B1062" i="7"/>
  <c r="N1064" i="7" l="1"/>
  <c r="B1063" i="7"/>
  <c r="N1065" i="7" l="1"/>
  <c r="B1064" i="7"/>
  <c r="N1066" i="7" l="1"/>
  <c r="B1065" i="7"/>
  <c r="N1067" i="7" l="1"/>
  <c r="B1066" i="7"/>
  <c r="N1068" i="7" l="1"/>
  <c r="B1067" i="7"/>
  <c r="N1069" i="7" l="1"/>
  <c r="B1068" i="7"/>
  <c r="N1070" i="7" l="1"/>
  <c r="B1069" i="7"/>
  <c r="N1071" i="7" l="1"/>
  <c r="B1070" i="7"/>
  <c r="N1072" i="7" l="1"/>
  <c r="B1071" i="7"/>
  <c r="N1073" i="7" l="1"/>
  <c r="B1072" i="7"/>
  <c r="N1074" i="7" l="1"/>
  <c r="B1073" i="7"/>
  <c r="N1075" i="7" l="1"/>
  <c r="B1074" i="7"/>
  <c r="N1076" i="7" l="1"/>
  <c r="B1075" i="7"/>
  <c r="N1077" i="7" l="1"/>
  <c r="B1076" i="7"/>
  <c r="N1078" i="7" l="1"/>
  <c r="B1077" i="7"/>
  <c r="N1079" i="7" l="1"/>
  <c r="B1078" i="7"/>
  <c r="N1080" i="7" l="1"/>
  <c r="B1079" i="7"/>
  <c r="N1081" i="7" l="1"/>
  <c r="B1080" i="7"/>
  <c r="N1082" i="7" l="1"/>
  <c r="B1081" i="7"/>
  <c r="N1083" i="7" l="1"/>
  <c r="B1082" i="7"/>
  <c r="N1084" i="7" l="1"/>
  <c r="B1083" i="7"/>
  <c r="N1085" i="7" l="1"/>
  <c r="B1084" i="7"/>
  <c r="N1086" i="7" l="1"/>
  <c r="B1085" i="7"/>
  <c r="N1087" i="7" l="1"/>
  <c r="B1086" i="7"/>
  <c r="N1088" i="7" l="1"/>
  <c r="B1087" i="7"/>
  <c r="N1089" i="7" l="1"/>
  <c r="B1088" i="7"/>
  <c r="N1090" i="7" l="1"/>
  <c r="B1089" i="7"/>
  <c r="N1091" i="7" l="1"/>
  <c r="B1090" i="7"/>
  <c r="N1092" i="7" l="1"/>
  <c r="B1091" i="7"/>
  <c r="N1093" i="7" l="1"/>
  <c r="B1092" i="7"/>
  <c r="N1094" i="7" l="1"/>
  <c r="B1093" i="7"/>
  <c r="N1095" i="7" l="1"/>
  <c r="B1094" i="7"/>
  <c r="N1096" i="7" l="1"/>
  <c r="B1095" i="7"/>
  <c r="N1097" i="7" l="1"/>
  <c r="B1096" i="7"/>
  <c r="N1098" i="7" l="1"/>
  <c r="B1097" i="7"/>
  <c r="N1099" i="7" l="1"/>
  <c r="B1098" i="7"/>
  <c r="N1100" i="7" l="1"/>
  <c r="B1099" i="7"/>
  <c r="N1101" i="7" l="1"/>
  <c r="B1100" i="7"/>
  <c r="N1102" i="7" l="1"/>
  <c r="B1101" i="7"/>
  <c r="N1103" i="7" l="1"/>
  <c r="B1102" i="7"/>
  <c r="N1104" i="7" l="1"/>
  <c r="B1103" i="7"/>
  <c r="N1105" i="7" l="1"/>
  <c r="B1104" i="7"/>
  <c r="N1106" i="7" l="1"/>
  <c r="B1105" i="7"/>
  <c r="N1107" i="7" l="1"/>
  <c r="B1106" i="7"/>
  <c r="N1108" i="7" l="1"/>
  <c r="B1107" i="7"/>
  <c r="N1109" i="7" l="1"/>
  <c r="B1108" i="7"/>
  <c r="N1110" i="7" l="1"/>
  <c r="B1109" i="7"/>
  <c r="N1111" i="7" l="1"/>
  <c r="B1110" i="7"/>
  <c r="N1112" i="7" l="1"/>
  <c r="B1111" i="7"/>
  <c r="N1113" i="7" l="1"/>
  <c r="B1112" i="7"/>
  <c r="N1114" i="7" l="1"/>
  <c r="B1113" i="7"/>
  <c r="N1115" i="7" l="1"/>
  <c r="B1114" i="7"/>
  <c r="N1116" i="7" l="1"/>
  <c r="B1115" i="7"/>
  <c r="N1117" i="7" l="1"/>
  <c r="B1116" i="7"/>
  <c r="N1118" i="7" l="1"/>
  <c r="B1117" i="7"/>
  <c r="N1119" i="7" l="1"/>
  <c r="B1118" i="7"/>
  <c r="N1120" i="7" l="1"/>
  <c r="B1119" i="7"/>
  <c r="N1121" i="7" l="1"/>
  <c r="B1120" i="7"/>
  <c r="N1122" i="7" l="1"/>
  <c r="B1121" i="7"/>
  <c r="N1123" i="7" l="1"/>
  <c r="B1122" i="7"/>
  <c r="N1124" i="7" l="1"/>
  <c r="B1123" i="7"/>
  <c r="N1125" i="7" l="1"/>
  <c r="B1124" i="7"/>
  <c r="N1126" i="7" l="1"/>
  <c r="B1125" i="7"/>
  <c r="N1127" i="7" l="1"/>
  <c r="B1126" i="7"/>
  <c r="N1128" i="7" l="1"/>
  <c r="B1127" i="7"/>
  <c r="N1129" i="7" l="1"/>
  <c r="B1128" i="7"/>
  <c r="N1130" i="7" l="1"/>
  <c r="B1129" i="7"/>
  <c r="N1131" i="7" l="1"/>
  <c r="B1130" i="7"/>
  <c r="N1132" i="7" l="1"/>
  <c r="B1131" i="7"/>
  <c r="N1133" i="7" l="1"/>
  <c r="B1132" i="7"/>
  <c r="N1134" i="7" l="1"/>
  <c r="B1133" i="7"/>
  <c r="N1135" i="7" l="1"/>
  <c r="B1134" i="7"/>
  <c r="N1136" i="7" l="1"/>
  <c r="B1135" i="7"/>
  <c r="N1137" i="7" l="1"/>
  <c r="B1136" i="7"/>
  <c r="N1138" i="7" l="1"/>
  <c r="B1137" i="7"/>
  <c r="N1139" i="7" l="1"/>
  <c r="B1138" i="7"/>
  <c r="N1140" i="7" l="1"/>
  <c r="B1139" i="7"/>
  <c r="N1141" i="7" l="1"/>
  <c r="B1140" i="7"/>
  <c r="N1142" i="7" l="1"/>
  <c r="B1141" i="7"/>
  <c r="N1143" i="7" l="1"/>
  <c r="B1142" i="7"/>
  <c r="N1144" i="7" l="1"/>
  <c r="B1143" i="7"/>
  <c r="N1145" i="7" l="1"/>
  <c r="B1144" i="7"/>
  <c r="N1146" i="7" l="1"/>
  <c r="B1145" i="7"/>
  <c r="N1147" i="7" l="1"/>
  <c r="B1146" i="7"/>
  <c r="N1148" i="7" l="1"/>
  <c r="B1147" i="7"/>
  <c r="N1149" i="7" l="1"/>
  <c r="B1148" i="7"/>
  <c r="N1150" i="7" l="1"/>
  <c r="B1149" i="7"/>
  <c r="N1151" i="7" l="1"/>
  <c r="B1150" i="7"/>
  <c r="N1152" i="7" l="1"/>
  <c r="B1151" i="7"/>
  <c r="N1153" i="7" l="1"/>
  <c r="B1152" i="7"/>
  <c r="N1154" i="7" l="1"/>
  <c r="B1153" i="7"/>
  <c r="N1155" i="7" l="1"/>
  <c r="B1154" i="7"/>
  <c r="N1156" i="7" l="1"/>
  <c r="B1155" i="7"/>
  <c r="N1157" i="7" l="1"/>
  <c r="B1156" i="7"/>
  <c r="N1158" i="7" l="1"/>
  <c r="B1157" i="7"/>
  <c r="N1159" i="7" l="1"/>
  <c r="B1158" i="7"/>
  <c r="N1160" i="7" l="1"/>
  <c r="B1159" i="7"/>
  <c r="N1161" i="7" l="1"/>
  <c r="B1160" i="7"/>
  <c r="N1162" i="7" l="1"/>
  <c r="B1161" i="7"/>
  <c r="N1163" i="7" l="1"/>
  <c r="B1162" i="7"/>
  <c r="N1164" i="7" l="1"/>
  <c r="B1163" i="7"/>
  <c r="N1165" i="7" l="1"/>
  <c r="B1164" i="7"/>
  <c r="N1166" i="7" l="1"/>
  <c r="B1165" i="7"/>
  <c r="N1167" i="7" l="1"/>
  <c r="B1166" i="7"/>
  <c r="N1168" i="7" l="1"/>
  <c r="B1167" i="7"/>
  <c r="N1169" i="7" l="1"/>
  <c r="B1168" i="7"/>
  <c r="N1170" i="7" l="1"/>
  <c r="B1169" i="7"/>
  <c r="N1171" i="7" l="1"/>
  <c r="B1170" i="7"/>
  <c r="N1172" i="7" l="1"/>
  <c r="B1171" i="7"/>
  <c r="N1173" i="7" l="1"/>
  <c r="B1172" i="7"/>
  <c r="N1174" i="7" l="1"/>
  <c r="B1173" i="7"/>
  <c r="N1175" i="7" l="1"/>
  <c r="B1174" i="7"/>
  <c r="N1176" i="7" l="1"/>
  <c r="B1175" i="7"/>
  <c r="N1177" i="7" l="1"/>
  <c r="B1176" i="7"/>
  <c r="N1178" i="7" l="1"/>
  <c r="B1177" i="7"/>
  <c r="N1179" i="7" l="1"/>
  <c r="B1178" i="7"/>
  <c r="N1180" i="7" l="1"/>
  <c r="B1179" i="7"/>
  <c r="N1181" i="7" l="1"/>
  <c r="B1180" i="7"/>
  <c r="N1182" i="7" l="1"/>
  <c r="B1181" i="7"/>
  <c r="N1183" i="7" l="1"/>
  <c r="B1182" i="7"/>
  <c r="N1184" i="7" l="1"/>
  <c r="B1183" i="7"/>
  <c r="N1185" i="7" l="1"/>
  <c r="B1184" i="7"/>
  <c r="N1186" i="7" l="1"/>
  <c r="B1185" i="7"/>
  <c r="N1187" i="7" l="1"/>
  <c r="B1186" i="7"/>
  <c r="N1188" i="7" l="1"/>
  <c r="B1187" i="7"/>
  <c r="N1189" i="7" l="1"/>
  <c r="B1188" i="7"/>
  <c r="N1190" i="7" l="1"/>
  <c r="B1189" i="7"/>
  <c r="N1191" i="7" l="1"/>
  <c r="B1190" i="7"/>
  <c r="N1192" i="7" l="1"/>
  <c r="B1191" i="7"/>
  <c r="N1193" i="7" l="1"/>
  <c r="B1192" i="7"/>
  <c r="N1194" i="7" l="1"/>
  <c r="B1193" i="7"/>
  <c r="N1195" i="7" l="1"/>
  <c r="B1194" i="7"/>
  <c r="N1196" i="7" l="1"/>
  <c r="B1195" i="7"/>
  <c r="N1197" i="7" l="1"/>
  <c r="B1196" i="7"/>
  <c r="N1198" i="7" l="1"/>
  <c r="B1197" i="7"/>
  <c r="N1199" i="7" l="1"/>
  <c r="B1198" i="7"/>
  <c r="N1200" i="7" l="1"/>
  <c r="B1199" i="7"/>
  <c r="N1201" i="7" l="1"/>
  <c r="B1200" i="7"/>
  <c r="N1202" i="7" l="1"/>
  <c r="B1201" i="7"/>
  <c r="N1203" i="7" l="1"/>
  <c r="B1202" i="7"/>
  <c r="N1204" i="7" l="1"/>
  <c r="B1203" i="7"/>
  <c r="N1205" i="7" l="1"/>
  <c r="B1204" i="7"/>
  <c r="N1206" i="7" l="1"/>
  <c r="B1205" i="7"/>
  <c r="N1207" i="7" l="1"/>
  <c r="B1206" i="7"/>
  <c r="N1208" i="7" l="1"/>
  <c r="B1207" i="7"/>
  <c r="N1209" i="7" l="1"/>
  <c r="B1208" i="7"/>
  <c r="N1210" i="7" l="1"/>
  <c r="B1209" i="7"/>
  <c r="N1211" i="7" l="1"/>
  <c r="B1210" i="7"/>
  <c r="N1212" i="7" l="1"/>
  <c r="B1211" i="7"/>
  <c r="N1213" i="7" l="1"/>
  <c r="B1212" i="7"/>
  <c r="N1214" i="7" l="1"/>
  <c r="B1213" i="7"/>
  <c r="N1215" i="7" l="1"/>
  <c r="B1214" i="7"/>
  <c r="N1216" i="7" l="1"/>
  <c r="B1215" i="7"/>
  <c r="N1217" i="7" l="1"/>
  <c r="B1216" i="7"/>
  <c r="N1218" i="7" l="1"/>
  <c r="B1217" i="7"/>
  <c r="N1219" i="7" l="1"/>
  <c r="B1218" i="7"/>
  <c r="N1220" i="7" l="1"/>
  <c r="B1219" i="7"/>
  <c r="N1221" i="7" l="1"/>
  <c r="B1220" i="7"/>
  <c r="N1222" i="7" l="1"/>
  <c r="B1221" i="7"/>
  <c r="N1223" i="7" l="1"/>
  <c r="B1222" i="7"/>
  <c r="N1224" i="7" l="1"/>
  <c r="B1223" i="7"/>
  <c r="N1225" i="7" l="1"/>
  <c r="B1224" i="7"/>
  <c r="N1226" i="7" l="1"/>
  <c r="B1225" i="7"/>
  <c r="N1227" i="7" l="1"/>
  <c r="B1226" i="7"/>
  <c r="N1228" i="7" l="1"/>
  <c r="B1227" i="7"/>
  <c r="N1229" i="7" l="1"/>
  <c r="B1228" i="7"/>
  <c r="N1230" i="7" l="1"/>
  <c r="B1229" i="7"/>
  <c r="N1231" i="7" l="1"/>
  <c r="B1230" i="7"/>
  <c r="N1232" i="7" l="1"/>
  <c r="B1231" i="7"/>
  <c r="N1233" i="7" l="1"/>
  <c r="B1232" i="7"/>
  <c r="N1234" i="7" l="1"/>
  <c r="B1233" i="7"/>
  <c r="N1235" i="7" l="1"/>
  <c r="B1234" i="7"/>
  <c r="N1236" i="7" l="1"/>
  <c r="B1235" i="7"/>
  <c r="N1237" i="7" l="1"/>
  <c r="B1236" i="7"/>
  <c r="N1238" i="7" l="1"/>
  <c r="B1237" i="7"/>
  <c r="N1239" i="7" l="1"/>
  <c r="B1238" i="7"/>
  <c r="N1240" i="7" l="1"/>
  <c r="B1239" i="7"/>
  <c r="N1241" i="7" l="1"/>
  <c r="B1240" i="7"/>
  <c r="N1242" i="7" l="1"/>
  <c r="B1241" i="7"/>
  <c r="N1243" i="7" l="1"/>
  <c r="B1242" i="7"/>
  <c r="N1244" i="7" l="1"/>
  <c r="B1243" i="7"/>
  <c r="N1245" i="7" l="1"/>
  <c r="B1244" i="7"/>
  <c r="N1246" i="7" l="1"/>
  <c r="B1245" i="7"/>
  <c r="N1247" i="7" l="1"/>
  <c r="B1246" i="7"/>
  <c r="N1248" i="7" l="1"/>
  <c r="B1247" i="7"/>
  <c r="N1249" i="7" l="1"/>
  <c r="B1248" i="7"/>
  <c r="N1250" i="7" l="1"/>
  <c r="B1249" i="7"/>
  <c r="N1251" i="7" l="1"/>
  <c r="B1250" i="7"/>
  <c r="N1252" i="7" l="1"/>
  <c r="B1251" i="7"/>
  <c r="N1253" i="7" l="1"/>
  <c r="B1252" i="7"/>
  <c r="N1254" i="7" l="1"/>
  <c r="B1253" i="7"/>
  <c r="N1255" i="7" l="1"/>
  <c r="B1254" i="7"/>
  <c r="N1256" i="7" l="1"/>
  <c r="B1255" i="7"/>
  <c r="N1257" i="7" l="1"/>
  <c r="B1256" i="7"/>
  <c r="N1258" i="7" l="1"/>
  <c r="B1257" i="7"/>
  <c r="N1259" i="7" l="1"/>
  <c r="B1258" i="7"/>
  <c r="N1260" i="7" l="1"/>
  <c r="B1259" i="7"/>
  <c r="N1261" i="7" l="1"/>
  <c r="B1260" i="7"/>
  <c r="N1262" i="7" l="1"/>
  <c r="B1261" i="7"/>
  <c r="N1263" i="7" l="1"/>
  <c r="B1262" i="7"/>
  <c r="N1264" i="7" l="1"/>
  <c r="B1263" i="7"/>
  <c r="N1265" i="7" l="1"/>
  <c r="B1264" i="7"/>
  <c r="N1266" i="7" l="1"/>
  <c r="B1265" i="7"/>
  <c r="N1267" i="7" l="1"/>
  <c r="B1266" i="7"/>
  <c r="N1268" i="7" l="1"/>
  <c r="B1267" i="7"/>
  <c r="N1269" i="7" l="1"/>
  <c r="B1268" i="7"/>
  <c r="N1270" i="7" l="1"/>
  <c r="B1269" i="7"/>
  <c r="N1271" i="7" l="1"/>
  <c r="B1270" i="7"/>
  <c r="N1272" i="7" l="1"/>
  <c r="B1271" i="7"/>
  <c r="N1273" i="7" l="1"/>
  <c r="B1272" i="7"/>
  <c r="N1274" i="7" l="1"/>
  <c r="B1273" i="7"/>
  <c r="N1275" i="7" l="1"/>
  <c r="B1274" i="7"/>
  <c r="N1276" i="7" l="1"/>
  <c r="B1275" i="7"/>
  <c r="N1277" i="7" l="1"/>
  <c r="B1276" i="7"/>
  <c r="N1278" i="7" l="1"/>
  <c r="B1277" i="7"/>
  <c r="N1279" i="7" l="1"/>
  <c r="B1278" i="7"/>
  <c r="N1280" i="7" l="1"/>
  <c r="B1279" i="7"/>
  <c r="N1281" i="7" l="1"/>
  <c r="B1280" i="7"/>
  <c r="N1282" i="7" l="1"/>
  <c r="B1281" i="7"/>
  <c r="N1283" i="7" l="1"/>
  <c r="B1282" i="7"/>
  <c r="N1284" i="7" l="1"/>
  <c r="B1283" i="7"/>
  <c r="N1285" i="7" l="1"/>
  <c r="B1284" i="7"/>
  <c r="N1286" i="7" l="1"/>
  <c r="B1285" i="7"/>
  <c r="N1287" i="7" l="1"/>
  <c r="B1286" i="7"/>
  <c r="N1288" i="7" l="1"/>
  <c r="B1287" i="7"/>
  <c r="N1289" i="7" l="1"/>
  <c r="B1288" i="7"/>
  <c r="N1290" i="7" l="1"/>
  <c r="B1289" i="7"/>
  <c r="N1291" i="7" l="1"/>
  <c r="B1290" i="7"/>
  <c r="N1292" i="7" l="1"/>
  <c r="B1291" i="7"/>
  <c r="N1293" i="7" l="1"/>
  <c r="B1292" i="7"/>
  <c r="N1294" i="7" l="1"/>
  <c r="B1293" i="7"/>
  <c r="N1295" i="7" l="1"/>
  <c r="B1294" i="7"/>
  <c r="N1296" i="7" l="1"/>
  <c r="B1295" i="7"/>
  <c r="N1297" i="7" l="1"/>
  <c r="B1296" i="7"/>
  <c r="N1298" i="7" l="1"/>
  <c r="B1297" i="7"/>
  <c r="N1299" i="7" l="1"/>
  <c r="B1298" i="7"/>
  <c r="N1300" i="7" l="1"/>
  <c r="B1299" i="7"/>
  <c r="N1301" i="7" l="1"/>
  <c r="B1300" i="7"/>
  <c r="N1302" i="7" l="1"/>
  <c r="B1301" i="7"/>
  <c r="N1303" i="7" l="1"/>
  <c r="B1302" i="7"/>
  <c r="N1304" i="7" l="1"/>
  <c r="B1303" i="7"/>
  <c r="N1305" i="7" l="1"/>
  <c r="B1304" i="7"/>
  <c r="N1306" i="7" l="1"/>
  <c r="B1305" i="7"/>
  <c r="N1307" i="7" l="1"/>
  <c r="B1306" i="7"/>
  <c r="N1308" i="7" l="1"/>
  <c r="B1307" i="7"/>
  <c r="N1309" i="7" l="1"/>
  <c r="B1308" i="7"/>
  <c r="N1310" i="7" l="1"/>
  <c r="B1309" i="7"/>
  <c r="N1311" i="7" l="1"/>
  <c r="B1310" i="7"/>
  <c r="N1312" i="7" l="1"/>
  <c r="B1311" i="7"/>
  <c r="N1313" i="7" l="1"/>
  <c r="B1312" i="7"/>
  <c r="N1314" i="7" l="1"/>
  <c r="B1313" i="7"/>
  <c r="N1315" i="7" l="1"/>
  <c r="B1314" i="7"/>
  <c r="N1316" i="7" l="1"/>
  <c r="B1315" i="7"/>
  <c r="N1317" i="7" l="1"/>
  <c r="B1316" i="7"/>
  <c r="N1318" i="7" l="1"/>
  <c r="B1317" i="7"/>
  <c r="N1319" i="7" l="1"/>
  <c r="B1318" i="7"/>
  <c r="N1320" i="7" l="1"/>
  <c r="B1319" i="7"/>
  <c r="N1321" i="7" l="1"/>
  <c r="B1320" i="7"/>
  <c r="N1322" i="7" l="1"/>
  <c r="B1321" i="7"/>
  <c r="N1323" i="7" l="1"/>
  <c r="B1322" i="7"/>
  <c r="N1324" i="7" l="1"/>
  <c r="B1323" i="7"/>
  <c r="N1325" i="7" l="1"/>
  <c r="B1324" i="7"/>
  <c r="N1326" i="7" l="1"/>
  <c r="B1325" i="7"/>
  <c r="N1327" i="7" l="1"/>
  <c r="B1326" i="7"/>
  <c r="N1328" i="7" l="1"/>
  <c r="B1327" i="7"/>
  <c r="N1329" i="7" l="1"/>
  <c r="B1328" i="7"/>
  <c r="N1330" i="7" l="1"/>
  <c r="B1329" i="7"/>
  <c r="N1331" i="7" l="1"/>
  <c r="B1330" i="7"/>
  <c r="N1332" i="7" l="1"/>
  <c r="B1331" i="7"/>
  <c r="N1333" i="7" l="1"/>
  <c r="B1332" i="7"/>
  <c r="N1334" i="7" l="1"/>
  <c r="B1333" i="7"/>
  <c r="N1335" i="7" l="1"/>
  <c r="B1334" i="7"/>
  <c r="N1336" i="7" l="1"/>
  <c r="B1335" i="7"/>
  <c r="N1337" i="7" l="1"/>
  <c r="B1336" i="7"/>
  <c r="N1338" i="7" l="1"/>
  <c r="B1337" i="7"/>
  <c r="N1339" i="7" l="1"/>
  <c r="B1338" i="7"/>
  <c r="N1340" i="7" l="1"/>
  <c r="B1339" i="7"/>
  <c r="N1341" i="7" l="1"/>
  <c r="B1340" i="7"/>
  <c r="N1342" i="7" l="1"/>
  <c r="B1341" i="7"/>
  <c r="N1343" i="7" l="1"/>
  <c r="B1342" i="7"/>
  <c r="N1344" i="7" l="1"/>
  <c r="B1343" i="7"/>
  <c r="N1345" i="7" l="1"/>
  <c r="B1344" i="7"/>
  <c r="N1346" i="7" l="1"/>
  <c r="B1345" i="7"/>
  <c r="N1347" i="7" l="1"/>
  <c r="B1346" i="7"/>
  <c r="N1348" i="7" l="1"/>
  <c r="B1347" i="7"/>
  <c r="N1349" i="7" l="1"/>
  <c r="B1348" i="7"/>
  <c r="N1350" i="7" l="1"/>
  <c r="B1349" i="7"/>
  <c r="N1351" i="7" l="1"/>
  <c r="B1350" i="7"/>
  <c r="N1352" i="7" l="1"/>
  <c r="B1351" i="7"/>
  <c r="N1353" i="7" l="1"/>
  <c r="B1352" i="7"/>
  <c r="N1354" i="7" l="1"/>
  <c r="B1353" i="7"/>
  <c r="N1355" i="7" l="1"/>
  <c r="B1354" i="7"/>
  <c r="N1356" i="7" l="1"/>
  <c r="B1355" i="7"/>
  <c r="N1357" i="7" l="1"/>
  <c r="B1356" i="7"/>
  <c r="N1358" i="7" l="1"/>
  <c r="B1357" i="7"/>
  <c r="N1359" i="7" l="1"/>
  <c r="B1358" i="7"/>
  <c r="N1360" i="7" l="1"/>
  <c r="B1359" i="7"/>
  <c r="N1361" i="7" l="1"/>
  <c r="B1360" i="7"/>
  <c r="N1362" i="7" l="1"/>
  <c r="B1361" i="7"/>
  <c r="N1363" i="7" l="1"/>
  <c r="B1362" i="7"/>
  <c r="N1364" i="7" l="1"/>
  <c r="B1363" i="7"/>
  <c r="N1365" i="7" l="1"/>
  <c r="B1364" i="7"/>
  <c r="N1366" i="7" l="1"/>
  <c r="B1365" i="7"/>
  <c r="N1367" i="7" l="1"/>
  <c r="B1366" i="7"/>
  <c r="N1368" i="7" l="1"/>
  <c r="B1367" i="7"/>
  <c r="N1369" i="7" l="1"/>
  <c r="B1368" i="7"/>
  <c r="N1370" i="7" l="1"/>
  <c r="B1369" i="7"/>
  <c r="N1371" i="7" l="1"/>
  <c r="B1370" i="7"/>
  <c r="N1372" i="7" l="1"/>
  <c r="B1371" i="7"/>
  <c r="N1373" i="7" l="1"/>
  <c r="B1372" i="7"/>
  <c r="N1374" i="7" l="1"/>
  <c r="B1374" i="7" s="1"/>
  <c r="B1373" i="7"/>
  <c r="E16" i="3" l="1"/>
  <c r="D16" i="3"/>
  <c r="E15" i="3"/>
  <c r="D15" i="3"/>
  <c r="E14" i="3"/>
  <c r="D14" i="3"/>
  <c r="E13" i="3"/>
  <c r="D13" i="3"/>
  <c r="E12" i="3"/>
  <c r="D12" i="3"/>
  <c r="F18" i="3"/>
  <c r="F12" i="3" l="1"/>
  <c r="F13" i="3"/>
  <c r="F14" i="3"/>
  <c r="F15" i="3"/>
  <c r="F16" i="3"/>
  <c r="S158" i="1" l="1"/>
  <c r="T109" i="1"/>
  <c r="R546" i="1"/>
  <c r="M556" i="1"/>
  <c r="H556" i="1"/>
  <c r="R555" i="1"/>
  <c r="R556" i="1" l="1"/>
  <c r="H496" i="1" l="1"/>
  <c r="S473" i="1" l="1"/>
  <c r="T94" i="1"/>
  <c r="R50" i="1"/>
  <c r="M547" i="1" l="1"/>
  <c r="H547" i="1"/>
  <c r="R547" i="1" s="1"/>
  <c r="M496" i="1"/>
  <c r="R496" i="1" s="1"/>
  <c r="M481" i="1"/>
  <c r="E35" i="3" s="1"/>
  <c r="H481" i="1"/>
  <c r="M463" i="1"/>
  <c r="E34" i="3" s="1"/>
  <c r="H463" i="1"/>
  <c r="M454" i="1"/>
  <c r="H454" i="1"/>
  <c r="R454" i="1" s="1"/>
  <c r="M447" i="1"/>
  <c r="H447" i="1"/>
  <c r="M440" i="1"/>
  <c r="H440" i="1"/>
  <c r="M429" i="1"/>
  <c r="H429" i="1"/>
  <c r="R429" i="1" s="1"/>
  <c r="M418" i="1"/>
  <c r="H418" i="1"/>
  <c r="M406" i="1"/>
  <c r="H406" i="1"/>
  <c r="H395" i="1"/>
  <c r="R395" i="1" s="1"/>
  <c r="R165" i="1"/>
  <c r="R166" i="1"/>
  <c r="R167" i="1"/>
  <c r="R164" i="1"/>
  <c r="R42" i="1"/>
  <c r="R31" i="1"/>
  <c r="R26" i="1"/>
  <c r="R463" i="1" l="1"/>
  <c r="R418" i="1"/>
  <c r="R406" i="1"/>
  <c r="R447" i="1"/>
  <c r="D35" i="3"/>
  <c r="R481" i="1"/>
  <c r="R440" i="1"/>
  <c r="R44" i="1"/>
  <c r="D34" i="3"/>
  <c r="D36" i="3" s="1"/>
  <c r="E36" i="3"/>
  <c r="F35" i="3"/>
  <c r="M387" i="1"/>
  <c r="H387" i="1"/>
  <c r="M372" i="1"/>
  <c r="H372" i="1"/>
  <c r="R372" i="1" s="1"/>
  <c r="M360" i="1"/>
  <c r="H360" i="1"/>
  <c r="M348" i="1"/>
  <c r="H348" i="1"/>
  <c r="R348" i="1" s="1"/>
  <c r="M326" i="1"/>
  <c r="E26" i="3" s="1"/>
  <c r="H326" i="1"/>
  <c r="M296" i="1"/>
  <c r="E25" i="3" s="1"/>
  <c r="H296" i="1"/>
  <c r="M251" i="1"/>
  <c r="E24" i="3" s="1"/>
  <c r="H251" i="1"/>
  <c r="R387" i="1" l="1"/>
  <c r="R251" i="1"/>
  <c r="R296" i="1"/>
  <c r="R326" i="1"/>
  <c r="R360" i="1"/>
  <c r="F34" i="3"/>
  <c r="F36" i="3"/>
  <c r="D24" i="3"/>
  <c r="F24" i="3" s="1"/>
  <c r="D25" i="3"/>
  <c r="F25" i="3" s="1"/>
  <c r="D26" i="3"/>
  <c r="F26" i="3" s="1"/>
  <c r="D28" i="3"/>
  <c r="F28" i="3" s="1"/>
  <c r="M168" i="1" l="1"/>
  <c r="E23" i="3" s="1"/>
  <c r="H168" i="1"/>
  <c r="O149" i="1"/>
  <c r="E17" i="3" s="1"/>
  <c r="J149" i="1"/>
  <c r="D17" i="3" l="1"/>
  <c r="F17" i="3" s="1"/>
  <c r="T149" i="1"/>
  <c r="R168" i="1"/>
  <c r="D23" i="3"/>
  <c r="D30" i="3" s="1"/>
  <c r="E30" i="3"/>
  <c r="O63" i="1"/>
  <c r="E10" i="3" s="1"/>
  <c r="J63" i="1"/>
  <c r="D10" i="3" l="1"/>
  <c r="D20" i="3" s="1"/>
  <c r="T63" i="1"/>
  <c r="F23" i="3"/>
  <c r="D31" i="3"/>
  <c r="D37" i="3" s="1"/>
  <c r="F30" i="3"/>
  <c r="E20" i="3"/>
  <c r="F10" i="3"/>
  <c r="E31" i="3" l="1"/>
  <c r="F20" i="3"/>
  <c r="E37" i="3" l="1"/>
  <c r="F31" i="3"/>
  <c r="F37" i="3" s="1"/>
</calcChain>
</file>

<file path=xl/sharedStrings.xml><?xml version="1.0" encoding="utf-8"?>
<sst xmlns="http://schemas.openxmlformats.org/spreadsheetml/2006/main" count="11783" uniqueCount="1789">
  <si>
    <t>CATATAN ATAS LAPORAN KEUANGAN</t>
  </si>
  <si>
    <t>A.</t>
  </si>
  <si>
    <t>Informasi Umum</t>
  </si>
  <si>
    <t>1.  Lurah</t>
  </si>
  <si>
    <t>2.  Carik</t>
  </si>
  <si>
    <t>3.  Kaur Danarta</t>
  </si>
  <si>
    <t>:</t>
  </si>
  <si>
    <t>B.</t>
  </si>
  <si>
    <t>Dasar Penyajian Laporan Keuangan</t>
  </si>
  <si>
    <t>perolehan.  Pendapatan  dicatat  pada saat kas diterima   di Bank atau  Kas dan   Belanja dicatat   pada  saat kas</t>
  </si>
  <si>
    <t>dikeluarkan dan telah bersifat definitif.</t>
  </si>
  <si>
    <t>1.</t>
  </si>
  <si>
    <t>Rekonsiliasi SILPA dan Kas</t>
  </si>
  <si>
    <t>2.</t>
  </si>
  <si>
    <t>3.</t>
  </si>
  <si>
    <t>Setoran Pajak Tahun Anggaran Berjalan</t>
  </si>
  <si>
    <t>I.</t>
  </si>
  <si>
    <t>SILPA Akhir Tahun Sebelumnya (Saldo Kas Akhir Tahun Sebelumnya - Hutang Pajak)</t>
  </si>
  <si>
    <t>II.</t>
  </si>
  <si>
    <t>Saldo Akhir Pajak Belum Disetor ke Kas Negara (1+2+3)</t>
  </si>
  <si>
    <t>Mutasi Pajak :</t>
  </si>
  <si>
    <t>Mutasi Penerimaan :</t>
  </si>
  <si>
    <t>Penerimaan Pendapatan Desa</t>
  </si>
  <si>
    <t>Penerimaan Pendapatan Desa (selain SILPA)</t>
  </si>
  <si>
    <t>III.</t>
  </si>
  <si>
    <t>Jumlah Mutasi Penerimaan (1+2)</t>
  </si>
  <si>
    <t>Mutasi Pengeluaran :</t>
  </si>
  <si>
    <t>Pengeluaran Belanja Desa</t>
  </si>
  <si>
    <t>Pengeluaran Pembiayaan Desa</t>
  </si>
  <si>
    <t>IV.</t>
  </si>
  <si>
    <t>Jumlah Mutasi Pengeluaran (1+2)</t>
  </si>
  <si>
    <t>Mutasi Panjar :</t>
  </si>
  <si>
    <t>Pemberian Panjar</t>
  </si>
  <si>
    <t>SPJ Panjar</t>
  </si>
  <si>
    <t>Pengembalian Sisa Panjar</t>
  </si>
  <si>
    <t>V.</t>
  </si>
  <si>
    <t>Sisa Panjar yang belum dikembalikan ke Kas Desa (1-2-3)</t>
  </si>
  <si>
    <t>VI.</t>
  </si>
  <si>
    <t>VII.</t>
  </si>
  <si>
    <t>Biaya Admin Bank yang tidak dianggarkan pada APBDes</t>
  </si>
  <si>
    <t>Saldo Akhir Kas Tahun Anggaran Berjalan (I+II+III-IV-V-VI)</t>
  </si>
  <si>
    <t>Pendapatan Asli Kalurahan terdiri dari :</t>
  </si>
  <si>
    <t>Uraian</t>
  </si>
  <si>
    <t>Anggaran</t>
  </si>
  <si>
    <t>Realisasi</t>
  </si>
  <si>
    <t>Lebih/(Kurang)</t>
  </si>
  <si>
    <t xml:space="preserve"> Hasil Usaha Kalurahan</t>
  </si>
  <si>
    <t xml:space="preserve"> Hasil Aset Kalurahan</t>
  </si>
  <si>
    <t xml:space="preserve"> Swadaya, Partisipasi, dan Gotong Royong</t>
  </si>
  <si>
    <t>Lain-lain Pendapatan Asli Kalurahan</t>
  </si>
  <si>
    <t>Jumlah</t>
  </si>
  <si>
    <t>a.</t>
  </si>
  <si>
    <t>b.</t>
  </si>
  <si>
    <t>-</t>
  </si>
  <si>
    <t>Dana Desa merupakan pendapatan kalurahan yang diperoleh dari APBN.  Jumlah penerimaan Dana Desa  tahun</t>
  </si>
  <si>
    <t>Lebih / (Kurang)</t>
  </si>
  <si>
    <t xml:space="preserve"> Dana Desa</t>
  </si>
  <si>
    <t>4.</t>
  </si>
  <si>
    <t>Pendapatan Asli Kalurahan (PAD)</t>
  </si>
  <si>
    <t>Dana Desa (DDS)</t>
  </si>
  <si>
    <t>Bagi Hasil Pajak dan Retribusi Daerah (PBH)</t>
  </si>
  <si>
    <t>adalah sebagai berikut :</t>
  </si>
  <si>
    <t>Laporan Keuangan  Kalurahan  berupa Laporan Realisasi APBKal   sesuai dengan  basis kas   dengan dasar harga</t>
  </si>
  <si>
    <t>Bagi Hasil Pajak dan Retribusi Daerah</t>
  </si>
  <si>
    <t>Jumlah penerimaan dari Bagi Hasil Pajak dan Retribusi Daerah (PBH)</t>
  </si>
  <si>
    <t>5.</t>
  </si>
  <si>
    <t>Alokasi Dana Desa (ADD)</t>
  </si>
  <si>
    <t>Penerimaan Kalurahan yang berasal dari Alokasi Dana Desa (ADD) adalah sebagai berikut :</t>
  </si>
  <si>
    <t xml:space="preserve">   Alokasi Dana Desa</t>
  </si>
  <si>
    <t>6.</t>
  </si>
  <si>
    <t>Bantuan Keuangan Provinsi (PBP)</t>
  </si>
  <si>
    <t xml:space="preserve">  BKK Provinsi/Danais</t>
  </si>
  <si>
    <t>7.</t>
  </si>
  <si>
    <t xml:space="preserve"> BKK Kabupaten</t>
  </si>
  <si>
    <t>c.</t>
  </si>
  <si>
    <t>d.</t>
  </si>
  <si>
    <t>e.</t>
  </si>
  <si>
    <t>Saldo Awal Periode Potongan Pajak yang belum disetor ke Kas Negara</t>
  </si>
  <si>
    <t>Penerimaan Pajak Tahun Anggaran Berjalan</t>
  </si>
  <si>
    <t>Bantuan Keuangan Kabupaten (PBK)</t>
  </si>
  <si>
    <t>8.</t>
  </si>
  <si>
    <t>Pendapatan Lain-lain</t>
  </si>
  <si>
    <t>Pendapatan Lain terdiri dari :</t>
  </si>
  <si>
    <t>Penerimaan dari Hasil Kerjasama Antar Desa</t>
  </si>
  <si>
    <t>Penerimaan dari Hasil Kerjasama Desa dengan Pihak Ketiga</t>
  </si>
  <si>
    <t>Penerimaan dari Bantuan Perusahaan yang berlokasi di desa</t>
  </si>
  <si>
    <t>Hibah dan sumbangan dari pihak ketiga</t>
  </si>
  <si>
    <t>Koreksi dari kesalahan belanja tahun-tahun anggaran sebelumnya yang mengakibatkan penerimaan di kas desa</t>
  </si>
  <si>
    <t>Bunga Bank</t>
  </si>
  <si>
    <t>Pendapatan Lain Desa yang sah</t>
  </si>
  <si>
    <t>1)</t>
  </si>
  <si>
    <t>2)</t>
  </si>
  <si>
    <t>3)</t>
  </si>
  <si>
    <t>Jumlah Bunga Bank</t>
  </si>
  <si>
    <t>Belanja - Bidang Penyelenggaraan Pemerintahan Desa</t>
  </si>
  <si>
    <t>9.</t>
  </si>
  <si>
    <t>Belanja untuk Bidang Penyelenggaraan Pemerintahan Desa terdiri dari :</t>
  </si>
  <si>
    <t xml:space="preserve"> Belanja Pegawai</t>
  </si>
  <si>
    <t xml:space="preserve"> Belanja Barang dan Jasa</t>
  </si>
  <si>
    <t xml:space="preserve"> Belanja Modal</t>
  </si>
  <si>
    <t xml:space="preserve"> Jumlah</t>
  </si>
  <si>
    <t xml:space="preserve"> Belanja Tak Terduga</t>
  </si>
  <si>
    <t>4)</t>
  </si>
  <si>
    <t>Penyediaan Operasional Pemerintah Desa</t>
  </si>
  <si>
    <t>Rehabilitasi/Pemeliharaan Kendaraan Dinas/Operasional</t>
  </si>
  <si>
    <t>5)</t>
  </si>
  <si>
    <t>6)</t>
  </si>
  <si>
    <t>7)</t>
  </si>
  <si>
    <t>8)</t>
  </si>
  <si>
    <t>9)</t>
  </si>
  <si>
    <t>10)</t>
  </si>
  <si>
    <t>11)</t>
  </si>
  <si>
    <t>Pengembangan Sistem Informasi Desa</t>
  </si>
  <si>
    <t>Adminstrasi Pajak Bumi dan Bangunan (PBB)</t>
  </si>
  <si>
    <t>Belanja - Bidang Pembangunan Desa</t>
  </si>
  <si>
    <t>Belanja untuk Bidang Pembangunan Desa terdiri dari :</t>
  </si>
  <si>
    <t>Belanja - Bidang Pembinaan Kemasyarakatan Desa</t>
  </si>
  <si>
    <t>Belanja untuk Bidang Pembinaan Kemasyarakatan Desa terdiri dari :</t>
  </si>
  <si>
    <t>10.</t>
  </si>
  <si>
    <t>11.</t>
  </si>
  <si>
    <t>Belanja - Bidang Pemberdayaan Masyarakat Desa</t>
  </si>
  <si>
    <t>Belanja untuk Bidang Pemberdayaan Masyarakat  Desa terdiri dari :</t>
  </si>
  <si>
    <t>12.</t>
  </si>
  <si>
    <t>13.</t>
  </si>
  <si>
    <t>Belanja Bidang Penanggulangan Bencana, Keadaan Darurat dan Mendesak Desa terdiri :</t>
  </si>
  <si>
    <t>Belanja - Bidang Penanggulangan Bencana, Keadaan Darurat dan Mendesak Desa</t>
  </si>
  <si>
    <t>Belanja Desa dalam Klasifikasi Ekonomi</t>
  </si>
  <si>
    <t>Jumlah Belanja dalam klasifikasi ekonomi adalah sebagai berikut:</t>
  </si>
  <si>
    <t>Penghasilan Tetap dan Tunjangan Kepala Desa</t>
  </si>
  <si>
    <t>Penghasilan Tetap dan Tunjangan Perangkat Desa</t>
  </si>
  <si>
    <t>Jaminan Sosial Kepala Desa dan Perangkat Desa</t>
  </si>
  <si>
    <t>Tunjangan BPD</t>
  </si>
  <si>
    <t>Belanja Pegawai</t>
  </si>
  <si>
    <t>Belanja Barang dan Jasa</t>
  </si>
  <si>
    <t>Belanja Barang Perlengkapan</t>
  </si>
  <si>
    <t>Belanja Jasa Honorarium</t>
  </si>
  <si>
    <t>Belanja Perjalanan Dinas</t>
  </si>
  <si>
    <t>Belanja Jasa Sewa</t>
  </si>
  <si>
    <t>Belanja Operasional Perkantoran</t>
  </si>
  <si>
    <t>Belanja Pemeliharaan</t>
  </si>
  <si>
    <t>Belanja Barang dan Jasa yang Diserahkan kepada Masyarakat</t>
  </si>
  <si>
    <t>Belanja Modal</t>
  </si>
  <si>
    <t>Belanja Modal Pengadaan Tanah</t>
  </si>
  <si>
    <t>Belanja Modal Pengadaan Peralatan, Mesin dan Alat Berat</t>
  </si>
  <si>
    <t>Belanja Modal Kendaraan</t>
  </si>
  <si>
    <t>Belanja Modal Gedung, Bangunan dan Taman</t>
  </si>
  <si>
    <t>Belanja Modal Jalan/Prasarana Jalan</t>
  </si>
  <si>
    <t>Belanja Modal Jembatan</t>
  </si>
  <si>
    <t>Belanja Modal Jaringan/Instalasi</t>
  </si>
  <si>
    <t>Belanja Modal Lainnya</t>
  </si>
  <si>
    <t>Belanja Modal Irigasi/Embung/Drainase/    Air Limbah/Persampahan</t>
  </si>
  <si>
    <t>Jumlah Sisa Lebih Belanja seluruhnya</t>
  </si>
  <si>
    <t>Belanja Tidak Terduga</t>
  </si>
  <si>
    <t>14.</t>
  </si>
  <si>
    <t>15.</t>
  </si>
  <si>
    <t>Belanja Desa dalam Klasifikasi Sub Bidang (Fungsi)</t>
  </si>
  <si>
    <t xml:space="preserve">Bidang Penyelenggaraan Pemerintahan Desa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</si>
  <si>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Penyelenggaran Belanja Siltap, Tunjangan dan Operasional Pemerintahan Desa</t>
  </si>
  <si>
    <t>Penyediaan Sarana Prasarana Pemerintahan Desa</t>
  </si>
  <si>
    <t>Pengelolaan Administrasi Kependudukan, Pencatatan Sipil, Statistik dan Kearsipan</t>
  </si>
  <si>
    <t>Penyelenggaraan Tata Praja Pemerintahan, Perencanaan, Keuangan dan Pelaporan</t>
  </si>
  <si>
    <t>Sub Bidang Pertanahan</t>
  </si>
  <si>
    <t xml:space="preserve">Bidang Pelaksanaan Pembangunan Desa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</si>
  <si>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Sub Bidang Pendidikan</t>
  </si>
  <si>
    <t>Sub Bidang Kesehatan</t>
  </si>
  <si>
    <t>Sub Bidang Pekerjaan Umum dan Penataan Ruang</t>
  </si>
  <si>
    <t>Sub Bidang Kawasan Pemukiman</t>
  </si>
  <si>
    <t>Sub Bidang Kehutanan dan Lingkungan Hidup</t>
  </si>
  <si>
    <t>Sub Bidang Perhubungan, Komunikasi dan Informatika</t>
  </si>
  <si>
    <t>Sub Bidang Energi dan Sumberdaya Mineral</t>
  </si>
  <si>
    <t>Sub Bidang Pariwisata</t>
  </si>
  <si>
    <t>Bidang Pembinaan Kemasyarakatan Desa</t>
  </si>
  <si>
    <t>Sub Bidang Ketenteraman, Ketertiban Umum dan Perlindungan Masyarakat</t>
  </si>
  <si>
    <t>Sub Bidang Kebudayaan dan Keagamaan</t>
  </si>
  <si>
    <t>Sub Bidang Kepemudaan dan Olahraga</t>
  </si>
  <si>
    <t>Sub Bidang Kelembagaan Masyarakat</t>
  </si>
  <si>
    <t xml:space="preserve">Bidang Pemberdayaan Masyarakat Desa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</si>
  <si>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Sub Bidang Kelautan dan Perikanan</t>
  </si>
  <si>
    <t>Sub Bidang Pertanian dan Peternakan</t>
  </si>
  <si>
    <t>Sub Bidang Peningkatan Kapasitas Aparatur Desa</t>
  </si>
  <si>
    <t>Sub Bidang Pemberdayaan Perempuan, Perlindungan Anak dan Keluarga</t>
  </si>
  <si>
    <t>Sub Bidang Koperasi, Usaha Micro Kecil dan Menengah (UMKM)</t>
  </si>
  <si>
    <t>Sub Bidang Dukungan Penanaman Modal</t>
  </si>
  <si>
    <t>Sub Bidang Perdagangan dan Perindustrian</t>
  </si>
  <si>
    <t>Bidang Penanggulangan Bencana, Darurat, dan Mendesak Desa</t>
  </si>
  <si>
    <t>Sub Bidang Penanggulangan Bencana</t>
  </si>
  <si>
    <t>Sub Bidang Keadaan Darurat</t>
  </si>
  <si>
    <t>Sub Bidang Keadaan Mendesak</t>
  </si>
  <si>
    <t>16.</t>
  </si>
  <si>
    <t>Pembiayaan</t>
  </si>
  <si>
    <t xml:space="preserve">Jumlah netto pembiayaan tahun anggaran adalah sebagai berikut: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</si>
  <si>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Penerimaan Pembiayaan</t>
  </si>
  <si>
    <t>Pengeluaran Pembiayaan</t>
  </si>
  <si>
    <t xml:space="preserve">Penerimaan Pembiayaan terdiri dari: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</si>
  <si>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SILPA Tahun Sebelumnya</t>
  </si>
  <si>
    <t>Pencairan Dana Cadangan</t>
  </si>
  <si>
    <t>Hasil Penjualan Kekayaan Desa Yang Dipisahkan</t>
  </si>
  <si>
    <t>Penerimaan Kembali Penyertaan Modal</t>
  </si>
  <si>
    <t>Penerimaan Pembiayaan Lainnya</t>
  </si>
  <si>
    <t xml:space="preserve">Pengeluaran  Pembiayaan terdiri dari: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</si>
  <si>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Pembentukan Dana Cadangan</t>
  </si>
  <si>
    <t>Penyertaan Modal Desa</t>
  </si>
  <si>
    <t>Setor Kembali Pendapatan Transfer</t>
  </si>
  <si>
    <t>Pengeluaran Pembiayaan Lainnya</t>
  </si>
  <si>
    <t>Keterangan :</t>
  </si>
  <si>
    <t xml:space="preserve">17. </t>
  </si>
  <si>
    <t>Aset Desa</t>
  </si>
  <si>
    <t>Tanah</t>
  </si>
  <si>
    <t>Peralatan dan Mesin</t>
  </si>
  <si>
    <t>Gedung dan Bangunan</t>
  </si>
  <si>
    <t>Jalan, Irigasi dan Jaringan</t>
  </si>
  <si>
    <t>Aset Tetap Lainnya</t>
  </si>
  <si>
    <t>Konstruksi Dalam Pengerjaan</t>
  </si>
  <si>
    <t>Aset Tak Berwujud</t>
  </si>
  <si>
    <t xml:space="preserve"> Jumlah Aset Tetap</t>
  </si>
  <si>
    <t>Jenis Aset Tetap</t>
  </si>
  <si>
    <t>Tahun 2024</t>
  </si>
  <si>
    <t>18.</t>
  </si>
  <si>
    <t>Penyelenggaraan PAUD/TK/TPA/TKA/TPQ/Madrasah NonFormal</t>
  </si>
  <si>
    <t>Penyelenggaraan Desa Siaga Kesehatan</t>
  </si>
  <si>
    <t>Pemberian makanan tambahan untuk Balita (PMT Balita)</t>
  </si>
  <si>
    <t>Jumlah Sisa Lebih Belanja  Seluruhnya</t>
  </si>
  <si>
    <t>TAHUN ANGGARAN 2025</t>
  </si>
  <si>
    <t>Setoran Pajak Tahun Anggaran berjalan dengan Deposit</t>
  </si>
  <si>
    <t>Saldo Deposit Pajak</t>
  </si>
  <si>
    <t>Saldo Awal Deposit Pajak</t>
  </si>
  <si>
    <t>Top Up Deposit Pajak</t>
  </si>
  <si>
    <t>Setoran Pajak Memakai Deposit Pajak</t>
  </si>
  <si>
    <t xml:space="preserve">         Saldo Akhir Deposit Pajak (I + II – III)</t>
  </si>
  <si>
    <t>Hasil Usaha Kalurahan berasal dari :</t>
  </si>
  <si>
    <t>Penjelasan realisasi Pendapatan Asli Kalurahan yang lebih atau kurang dari proyeksi anggaran, yaitu :</t>
  </si>
  <si>
    <t xml:space="preserve">Sewa tanah Puskesmas Pembantu </t>
  </si>
  <si>
    <t>anggaran 2025 adalah sebagai berikut :</t>
  </si>
  <si>
    <t>Penjelasan pendapatan transfer Dana Desa Tahun 2025 :</t>
  </si>
  <si>
    <t xml:space="preserve">Jumlah </t>
  </si>
  <si>
    <t>Pagu Dana Desa</t>
  </si>
  <si>
    <t>Tambahan Alokasi Kinerja</t>
  </si>
  <si>
    <t>Penerimaan  kalurahan yang berasal   dari Bagi Hasil Pajak    dan Retribusi Daerah   pada tahun  anggaran 2025</t>
  </si>
  <si>
    <t>untuk pembayaran BPJS Kesehatan yang dibayarkan langsung oleh BKAD bulan Januari - Desember 2025.</t>
  </si>
  <si>
    <t>Penerimaan Kalurahan yang berasal dari Bantuan Keuangan Provinsi DIY/Danais tahun 2025 :</t>
  </si>
  <si>
    <t>Penerimaan Kalurahan yang berasal dari Bantuan Keuangan Kabupaten Gunungkidul tahun 2025 :</t>
  </si>
  <si>
    <t>Penjelasan Pendapatan Lain-lain :</t>
  </si>
  <si>
    <t xml:space="preserve">- Kelebihan perhitungan rencana alokasi anggaran Siltap </t>
  </si>
  <si>
    <t>- Jaminan Kesehatan Perangkat Desa</t>
  </si>
  <si>
    <t>- Jaminan Ketenagakerjaan Perangkat Desa</t>
  </si>
  <si>
    <t>Belanja Alat Tulis Kantor dan Benda Pos</t>
  </si>
  <si>
    <t>Belanja Perjalanan Dinas Dalam Kabupaten/Kota</t>
  </si>
  <si>
    <t>Belanja Jasa Langganan Listrik</t>
  </si>
  <si>
    <t>Belanja Jasa Langganan Air Bersih</t>
  </si>
  <si>
    <t>Belanja Jasa Perpanjangan Ijin/Pajak</t>
  </si>
  <si>
    <t>Belanja Operasional Perkantoran lainnya (Pajak dan Admin Bank)</t>
  </si>
  <si>
    <t>Belanja Barang Cetak dan Penggandaan</t>
  </si>
  <si>
    <t>Belanja Barang Konsumsi (Makan/Minum)</t>
  </si>
  <si>
    <t>Penyusunan Dokumen Perencanaan Desa (RPJMDesa/RKPDesa dll)</t>
  </si>
  <si>
    <t>Belanja Jasa Sewa Sarana Mobilitas</t>
  </si>
  <si>
    <t>Belanja Barang untuk Diserahkan kepada Masyarakat</t>
  </si>
  <si>
    <t>Belanja Barang untuk Diserahkan kepada Masyarakat Lainnya</t>
  </si>
  <si>
    <t>Belanja Bahan Obat-obatan</t>
  </si>
  <si>
    <t>Belanja Barang Perlengkapan Lainnya</t>
  </si>
  <si>
    <t>Penjelasan :</t>
  </si>
  <si>
    <t xml:space="preserve"> SILPA Dana Desa (DDS)</t>
  </si>
  <si>
    <t>SILPA Alokasi Dana Desa (ADD)</t>
  </si>
  <si>
    <t>SILPA Bagi Hasil Pajak/Retribusi (PBH)</t>
  </si>
  <si>
    <t>Tahun 2025</t>
  </si>
  <si>
    <t xml:space="preserve"> Jumlah Penyertaan Modal</t>
  </si>
  <si>
    <t>19.</t>
  </si>
  <si>
    <t>Piutang Desa</t>
  </si>
  <si>
    <t>--- NIHIL ---</t>
  </si>
  <si>
    <t>20.</t>
  </si>
  <si>
    <t>Kewajiban Desa</t>
  </si>
  <si>
    <t>--- Tidak Ada ---</t>
  </si>
  <si>
    <t>Jumlah Penyertaan Modal</t>
  </si>
  <si>
    <r>
      <rPr>
        <b/>
        <sz val="11"/>
        <color theme="1"/>
        <rFont val="Arial"/>
        <family val="2"/>
      </rPr>
      <t xml:space="preserve">Keterangan </t>
    </r>
    <r>
      <rPr>
        <sz val="11"/>
        <color theme="1"/>
        <rFont val="Arial"/>
        <family val="2"/>
      </rPr>
      <t>: daftar rincian Aset Desa terlampir</t>
    </r>
  </si>
  <si>
    <t>Kekurangan Bagi Hasil Pajak Tahun 2024</t>
  </si>
  <si>
    <t>Bagi Hasil Pajak Daerah</t>
  </si>
  <si>
    <t>Bagi Hasil Retribusi Daerah</t>
  </si>
  <si>
    <t>LAPORAN REALISASI ANGGARAN PENDAPATAN DAN BELANJA KALURAHAN</t>
  </si>
  <si>
    <t>KABUPATEN GUNUNGKIDUL</t>
  </si>
  <si>
    <t>URAIAN</t>
  </si>
  <si>
    <t>Ref</t>
  </si>
  <si>
    <t>(Lebih/                                                      Kurang)</t>
  </si>
  <si>
    <t>PENDAPATAN</t>
  </si>
  <si>
    <t>Pendapatan Asli Desa</t>
  </si>
  <si>
    <t>Pendapatan Transfer</t>
  </si>
  <si>
    <t xml:space="preserve">   Dana Desa (DDS)</t>
  </si>
  <si>
    <t xml:space="preserve">   Bagian dari Hasil Pajak dan Retribusi Daerah (PBH)</t>
  </si>
  <si>
    <t xml:space="preserve">   Alokasi Dana Desa (ADD)</t>
  </si>
  <si>
    <t xml:space="preserve">   Bantuan Keuangan Provinsi</t>
  </si>
  <si>
    <t xml:space="preserve">   Bantuan Keuangan Kabupaten (BKK)</t>
  </si>
  <si>
    <t>Pendapatan Lain</t>
  </si>
  <si>
    <t>Lain-lain Pendapatan Desa yang Sah</t>
  </si>
  <si>
    <t>JUMLAH PENDAPATAN</t>
  </si>
  <si>
    <t>BELANJA</t>
  </si>
  <si>
    <t>Bidang Penyelenggaraan Pemerintah Desa</t>
  </si>
  <si>
    <t>Bidang Pelaksanaan Pembangunan Desa</t>
  </si>
  <si>
    <t>Bidang Pembinaan Kemasyarakatan</t>
  </si>
  <si>
    <t>Bidang Pemberdayaan Masyarakat</t>
  </si>
  <si>
    <t>Bidang Penanggulangan Bencana, Keadaan Darurat dan</t>
  </si>
  <si>
    <t>Mendesak Desa</t>
  </si>
  <si>
    <t>JUMLAH BELANJA</t>
  </si>
  <si>
    <t>SURPLUS/DEFISIT</t>
  </si>
  <si>
    <t>PEMBIAYAAN</t>
  </si>
  <si>
    <t>SELISIH PEMBIAYAAN</t>
  </si>
  <si>
    <t>SILPA TAHUN BERJALAN</t>
  </si>
  <si>
    <t>LAMPIRAN I</t>
  </si>
  <si>
    <t>TENTANG</t>
  </si>
  <si>
    <t>LAPORAN PERTANGGUNGJAWABAN</t>
  </si>
  <si>
    <t>REALISASI ANGGARAN PENDAPATAN</t>
  </si>
  <si>
    <t>DAN BELANJA KALURAHAN</t>
  </si>
  <si>
    <t>Kabupaten Gunungkidul</t>
  </si>
  <si>
    <t>Daftar Isi</t>
  </si>
  <si>
    <t>halaman</t>
  </si>
  <si>
    <t>I</t>
  </si>
  <si>
    <t>Laporan Realisasi APBKal</t>
  </si>
  <si>
    <t>II</t>
  </si>
  <si>
    <t>Catatan Atas Laporan Keuangan</t>
  </si>
  <si>
    <t>C.</t>
  </si>
  <si>
    <t>Rincian Pos Laporan Realisasi Anggaran</t>
  </si>
  <si>
    <t>1.    Rekonsiliasi SILPA dan Kas</t>
  </si>
  <si>
    <t>2.    Pendapatan Asli Desa</t>
  </si>
  <si>
    <t>3.    Dana Desa</t>
  </si>
  <si>
    <t>4.    Bagian dari Hasil Pajak dan Retribusi Daerah</t>
  </si>
  <si>
    <t>5.    Alokasi Dana Desa (ADD)</t>
  </si>
  <si>
    <t>6.    Bantuan Keuangan Provinsi</t>
  </si>
  <si>
    <t>7.    Bantuan Keuangan Kabupaten</t>
  </si>
  <si>
    <t>8.    Pendapatan Lain</t>
  </si>
  <si>
    <t>9.   Belanja Bidang Penyelenggaraan Pemerintah Desa</t>
  </si>
  <si>
    <t>10. Belanja Bidang Pelaksanaan Pembangunan Desa</t>
  </si>
  <si>
    <t>11. Belanja Bidang Pembinaan Kemasyarakatan Desa</t>
  </si>
  <si>
    <t>12. Belanja Bidang Pemberdayaan Kemasyarakatan Desa</t>
  </si>
  <si>
    <t>13. Bidang Penanggulangan Bencana, Darurat dan Mendesak Desa</t>
  </si>
  <si>
    <t>14. Belanja Desa Dalam Klasifikasi Ekonomi</t>
  </si>
  <si>
    <t>15. Belanja Desa dalam Klasifikasi Sub Bidang (Fungsi)</t>
  </si>
  <si>
    <t>16. Pembiayaan</t>
  </si>
  <si>
    <t>17. Aset Kalurahan</t>
  </si>
  <si>
    <t>18. Penyertaan Modal Kalurahan</t>
  </si>
  <si>
    <t>Lampiran</t>
  </si>
  <si>
    <t>Lampiran 1 - Rincian Aset Tetap Kalurahan</t>
  </si>
  <si>
    <t>NOMOR 1 TAHUN 2026</t>
  </si>
  <si>
    <t>Tahun Anggaran 2025</t>
  </si>
  <si>
    <t>LAMPIRAN II</t>
  </si>
  <si>
    <t>REALISASI ANGGARAN PENDAPATAN DAN BELANJA KALURAHAN</t>
  </si>
  <si>
    <t>KALURAHAN</t>
  </si>
  <si>
    <t>KAPANEWON</t>
  </si>
  <si>
    <t>KABUPATEN</t>
  </si>
  <si>
    <t>KODE REKENING</t>
  </si>
  <si>
    <t>OUTPUT</t>
  </si>
  <si>
    <t>SUMBER DANA</t>
  </si>
  <si>
    <t>RENCANA</t>
  </si>
  <si>
    <t>REALISASI</t>
  </si>
  <si>
    <t>Volume</t>
  </si>
  <si>
    <t>Satuan</t>
  </si>
  <si>
    <t>Capaian (%)</t>
  </si>
  <si>
    <t>BIDANG PENYELENGGARAN PEMERINTAHAN DESA</t>
  </si>
  <si>
    <t>Penyediaan Penghasilan Tetap dan Tunjangan Kepala Desa</t>
  </si>
  <si>
    <t>Penyediaan Penghasilan Tetap dan Tunjangan Perangkat Desa</t>
  </si>
  <si>
    <t>Penyediaan Jaminan Sosial bagi Kepala Desa dan Perangkat Desa</t>
  </si>
  <si>
    <t>Penyediaan Tunjangan BPD</t>
  </si>
  <si>
    <t>Penyediaan Insentif/Operasional RT/RW</t>
  </si>
  <si>
    <t>Rehabilitasi/pemeliharaan kendaraan dinas/operasional</t>
  </si>
  <si>
    <t>Penyelenggaraan Musyawarah Perencanaan Desa/Pembahasan APBDes</t>
  </si>
  <si>
    <t>Penyelenggaraan Musyawaran Desa Lainnya (Musdus, rembug desa Non Reguler)</t>
  </si>
  <si>
    <t>1</t>
  </si>
  <si>
    <t>5</t>
  </si>
  <si>
    <t>BIDANG PELAKSANAAN PEMBANGUNAN DESA</t>
  </si>
  <si>
    <t>Penyelenggaraan Posyandu (Mkn Tambahan, Kls Bumil, Lamsia, Insentif)</t>
  </si>
  <si>
    <t>Pembinaan Gerakan Masyarakat Hidup Sehat (Germas)</t>
  </si>
  <si>
    <t>Insentif kader kesehatan/KB</t>
  </si>
  <si>
    <t>Pembinaan RT/RW</t>
  </si>
  <si>
    <t>Operasional LPMD dan/atau LPMD</t>
  </si>
  <si>
    <t>Operasional PKK</t>
  </si>
  <si>
    <t>Pembinaan dan pengembangan Forum Anak Desa</t>
  </si>
  <si>
    <t>Pemeliharaan Gedung/Prasarana Kantor Desa</t>
  </si>
  <si>
    <t>LAMPIRAN III</t>
  </si>
  <si>
    <t xml:space="preserve">REALISASI ANGGARAN PENDAPATAN </t>
  </si>
  <si>
    <t xml:space="preserve">DAN BELANJA KALURAHAN </t>
  </si>
  <si>
    <t>PROGRAM SEKTORAL, PROGRAM DAERAH DAN PROGRAM LAINNYA</t>
  </si>
  <si>
    <t>YANG MASUK KE KALURAHAN</t>
  </si>
  <si>
    <t>Kalurahan</t>
  </si>
  <si>
    <t>Kapanewon</t>
  </si>
  <si>
    <t>Kabupaten</t>
  </si>
  <si>
    <t>:  Gunungkidul</t>
  </si>
  <si>
    <t>Provinsi</t>
  </si>
  <si>
    <t>:  D.I. Yogyakarta</t>
  </si>
  <si>
    <t>No</t>
  </si>
  <si>
    <t>Program</t>
  </si>
  <si>
    <t>Kegiatan</t>
  </si>
  <si>
    <t>Jenis</t>
  </si>
  <si>
    <t>Lokasi</t>
  </si>
  <si>
    <t>Sumber Dana</t>
  </si>
  <si>
    <t>Program Keluarga Harapan (PKH)</t>
  </si>
  <si>
    <t>Non Fisik</t>
  </si>
  <si>
    <t>APBN</t>
  </si>
  <si>
    <t>Bantuan Pangan Non Tunai (BPNT)</t>
  </si>
  <si>
    <t>JUMLAH</t>
  </si>
  <si>
    <t>Rincian Aset Tetap Kalurahan</t>
  </si>
  <si>
    <t>per 31 Desember 2025</t>
  </si>
  <si>
    <t>Klas Aset dan Nama/Identitas Aset Tetap</t>
  </si>
  <si>
    <t>Bukti Kepemilikan</t>
  </si>
  <si>
    <t>Kode Aset Tetap</t>
  </si>
  <si>
    <t>Tahun Perolehan</t>
  </si>
  <si>
    <t>Nilai Perolehan</t>
  </si>
  <si>
    <t>Kondisi Aset *)</t>
  </si>
  <si>
    <t>Keterangan</t>
  </si>
  <si>
    <t>Nomor</t>
  </si>
  <si>
    <t>Tanggal</t>
  </si>
  <si>
    <t>--- Nihil ---</t>
  </si>
  <si>
    <t>RR</t>
  </si>
  <si>
    <t>B</t>
  </si>
  <si>
    <t>Sound System</t>
  </si>
  <si>
    <t>Perpustakaan</t>
  </si>
  <si>
    <t>Televisi</t>
  </si>
  <si>
    <t>III</t>
  </si>
  <si>
    <t>Papan Penanda Keistimewaan</t>
  </si>
  <si>
    <t>IV</t>
  </si>
  <si>
    <t>Jalan, Jaringan dan Irigasi</t>
  </si>
  <si>
    <t>V</t>
  </si>
  <si>
    <t>VI</t>
  </si>
  <si>
    <t>---- NIHIL ---</t>
  </si>
  <si>
    <t xml:space="preserve">Aset Pihak Lain yang Dikuasai oleh Pemerintah Desa </t>
  </si>
  <si>
    <t>---- TERLAMPIR ---</t>
  </si>
  <si>
    <t>JUMLAH ASET TETAP SELURUHNYA</t>
  </si>
  <si>
    <t>*) Kondisi Aset diisi dengan Baik (B), Rusak Ringan (RR) dan Rusak Berat (RB)</t>
  </si>
  <si>
    <t>Mengetahui</t>
  </si>
  <si>
    <t>Pembantu Pengelola Aset</t>
  </si>
  <si>
    <t>LAMPIRAN 4</t>
  </si>
  <si>
    <t>Kode Aset</t>
  </si>
  <si>
    <t>Nama Jenis Aset</t>
  </si>
  <si>
    <t>Tahun 
Perolehan</t>
  </si>
  <si>
    <t>Mutasi Aset</t>
  </si>
  <si>
    <t>Jml</t>
  </si>
  <si>
    <t>Harga Satuan</t>
  </si>
  <si>
    <t>Jumlah Harga</t>
  </si>
  <si>
    <t>Bertambah</t>
  </si>
  <si>
    <t>Berkurang</t>
  </si>
  <si>
    <t>Jumlah Aset</t>
  </si>
  <si>
    <t>Hibah (BAST)</t>
  </si>
  <si>
    <t>Koreksi Kesalahan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</si>
  <si>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</si>
  <si>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</si>
  <si>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</si>
  <si>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</si>
  <si>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</si>
  <si>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</si>
  <si>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</si>
  <si>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</si>
  <si>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</si>
  <si>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</si>
  <si>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</si>
  <si>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</si>
  <si>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</si>
  <si>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</si>
  <si>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</si>
  <si>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</si>
  <si>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Kursi Kayu</t>
  </si>
  <si>
    <t>Hibah Perpusnas RI</t>
  </si>
  <si>
    <t>Jalan, irigasi, dan jaringan</t>
  </si>
  <si>
    <t>Aset Tetap lainnya</t>
  </si>
  <si>
    <t>*) satuan paket</t>
  </si>
  <si>
    <t>LURAH</t>
  </si>
  <si>
    <t>Keadaan Aset Per 31 Desember 2025</t>
  </si>
  <si>
    <t>Mutasi Aset Tetap 2025</t>
  </si>
  <si>
    <t>LAPORAN MUTASI ASET TAHUN 2025</t>
  </si>
  <si>
    <t>Keadaan Per 1 Januari 2025</t>
  </si>
  <si>
    <t>Keterangan : lihat Catatan Atas Laporan Keuangan (CALK) yang merupakan bagian yang tidak terpisahkan dari Laporan Keuangan</t>
  </si>
  <si>
    <t>PERATURAN KALURAHAN JETIS</t>
  </si>
  <si>
    <t>Laporan Keuangan Pemerintah Kalurahan Jetis Kapanewon Jetis</t>
  </si>
  <si>
    <t xml:space="preserve">Lampiran 2 - </t>
  </si>
  <si>
    <t>PEMERINTAH KALURAHAN JETIS</t>
  </si>
  <si>
    <t>KAPANEWON SAPTOSARI</t>
  </si>
  <si>
    <t>PEMERINTAH KALURAHAN JETIS KAPANEWON SAPTOSARI</t>
  </si>
  <si>
    <t>dengan Keputusan   Bupati  Gunungkidul  Nomor  141/131/PG/KPTS/2018 Tanggal 26 November 2018  saat ini</t>
  </si>
  <si>
    <t xml:space="preserve">Pemerintah Kalurahan Jetis  merupakan kalurahan  di  Kapanewon     Saptosari Kabupaten Gunungkidul.  Sesuai </t>
  </si>
  <si>
    <t>AGUS SUSANTO, SKM</t>
  </si>
  <si>
    <t>SUBEKTIASIH, S.Pd</t>
  </si>
  <si>
    <t>ENI INDRAWATI, SIP</t>
  </si>
  <si>
    <t xml:space="preserve">Kantor Pemerintahan Kalurahan beralamat  di Jl. Wonosari - Panggang Km 24 Jetis Kalurahan Jetis, </t>
  </si>
  <si>
    <t>Kapanewon Saptosari, Kabupaten Gunungkidul</t>
  </si>
  <si>
    <t xml:space="preserve">bagi hasil dari BUMDESMA SAPTO MANDIRI SAPTOSARI </t>
  </si>
  <si>
    <t xml:space="preserve">- </t>
  </si>
  <si>
    <t>Sewa tanah Pertashop</t>
  </si>
  <si>
    <t>Sewa tanah Kopi Telo</t>
  </si>
  <si>
    <t>Hasil Aset Kalurahan berasal dari :</t>
  </si>
  <si>
    <t>Retribusi Kios Milik Desa</t>
  </si>
  <si>
    <t>Lain-lain Aset Desa</t>
  </si>
  <si>
    <t>Sewa Tanah Kas Desa untuk Pertanian</t>
  </si>
  <si>
    <t>Penerimaan   kalurahan yang   berasal dari Bagi  Hasil   Pajak dan Retribusi  Daerah pada  tahun anggaran 2025</t>
  </si>
  <si>
    <t>kepengurusan Pemerintahan Kalurahan Jetis adalah :</t>
  </si>
  <si>
    <t>Kalurahan Jetis mendapatkan BKK Danais senilai Rp 100.000.000,00 berupa program Reformasi Kalurahan</t>
  </si>
  <si>
    <t>Pada Tahun 2025 Kalurahan Jetis TIDAK mendapatkan dana  BKK Kabupaten ( Rp 0,00)</t>
  </si>
  <si>
    <t>Jetis,       Januari 2026</t>
  </si>
  <si>
    <t>Lurah Jetis,</t>
  </si>
  <si>
    <t>Penjelasan Rekonsiliasi SILPA dan Kas</t>
  </si>
  <si>
    <t>Dari nilai Silpa di atas saldo sebesar Rp 178.176.142,00 adalah saldo Rekening kas BPD Reguler</t>
  </si>
  <si>
    <t>sedangkan saldo sebesar Rp 1.190.699,00 adalah saldo rekening BPD (Pengganti Tanah Kas Desa)</t>
  </si>
  <si>
    <t>Alokasi Dana Desa (ADD) terdapat perbedaan antara Anggaran dan Realisasi sebesar Rp 3.953.200,00 karena</t>
  </si>
  <si>
    <t>Penjelasan Bantuan Keuangan Propinsi (PBP) sebagai berikut :</t>
  </si>
  <si>
    <t>BKK Danais senilai Rp 120.000.000,00 berupa program Padat Karya Tunai Tata Nilai Yogyakarta (PKTN)</t>
  </si>
  <si>
    <t>Terdapat penerimaan dari Hibah dan Sumbangan dari Pihak Ketiga sebesar Rp 11.000.000,00 berasal dari</t>
  </si>
  <si>
    <t xml:space="preserve">pembagian dana surplus BUMDESMA SAPTO MANDIRI, dan sebesar Rp 4.100.000,00 merupakan </t>
  </si>
  <si>
    <t>SILPA tahun 2024</t>
  </si>
  <si>
    <t>Terdapat penerimaan dari Bunga Bank sebesar Rp 5.260.209,00 yang berasal dari 2 (dua) rekening :</t>
  </si>
  <si>
    <t>Rekening BPD No. 002.221.011038 (Tanah Pengganti)</t>
  </si>
  <si>
    <t>Rekening BPD No. 013.211.011315 (Rekening Kalurahan)</t>
  </si>
  <si>
    <t>Terdapat Sisa Lebih Belanja Pegawai sebesar Rp 6.702.522,00 dengan rincian sebagai berikut :</t>
  </si>
  <si>
    <t>- Tunjangan Kedudukan BPD</t>
  </si>
  <si>
    <t>- Jaminan Ketenagakerjaan BPD</t>
  </si>
  <si>
    <t>Belanja Perlengkapan Alat-alat Listrik</t>
  </si>
  <si>
    <t>Belanja Alat Rumah Tangga dan bahan Kebersihan</t>
  </si>
  <si>
    <t>Belanja Baeang Cetak dan Penggandaan</t>
  </si>
  <si>
    <t>Belanja Barang Konsumsi(Makan/Minum)</t>
  </si>
  <si>
    <t>Belanja Bendera/Umbul-umbul/Spanduk</t>
  </si>
  <si>
    <t>Belanja Jasa Honorarium Petugas</t>
  </si>
  <si>
    <t>Belanja Perjalanan Dinas Luar Kabupaten/Kota</t>
  </si>
  <si>
    <t xml:space="preserve">Belanja Jasa Perpanjangan Ijin/Pajak </t>
  </si>
  <si>
    <t>Penyediaan Operasional BPD</t>
  </si>
  <si>
    <t>Penyediaan Operasional Pemerintah Desa yang Bersumber dari DDS</t>
  </si>
  <si>
    <t>Belanja Barang Konsumsi (makan/Minum)</t>
  </si>
  <si>
    <t>Pengadaan Mebel</t>
  </si>
  <si>
    <t>Belanja Pemeliharaan Kendaraan Bermotor</t>
  </si>
  <si>
    <t>Penyediaa Jasa Perbaikan/Service Peralatan Kerja</t>
  </si>
  <si>
    <t>Belanja Pemeliharaan Mesin dan Peralatan Berat</t>
  </si>
  <si>
    <t>Penyusunan, Pendataan, dan Pemutakhiran Profil Desa</t>
  </si>
  <si>
    <t>Belanja Kursus Pelatihan</t>
  </si>
  <si>
    <t>Penyusunan Dokumen Keuangan Desa (APBDes, APBDes Perubahan,dan LPJ)</t>
  </si>
  <si>
    <t>Pengelolaan Administrasi/Inventarisasi/Penilaian Aset Desa</t>
  </si>
  <si>
    <t>12)</t>
  </si>
  <si>
    <t xml:space="preserve">Belanja Barang Konsumsi (Makan/Minum) </t>
  </si>
  <si>
    <t>13)</t>
  </si>
  <si>
    <t>Pengelolaan  Perpustakaan Milik Desa</t>
  </si>
  <si>
    <t>Belanja Modal Peralatan Mebelair dan Aksesoris Ruangan</t>
  </si>
  <si>
    <t>Belanja Modal Peralatan, Mesin dan Alat Berat Lainnya</t>
  </si>
  <si>
    <t>Belanja Modan Pembayaran Honor Tim Pelaksana Kegiatan ™</t>
  </si>
  <si>
    <t>Belanja Jasa Honorarium Lainnya</t>
  </si>
  <si>
    <t>Penyelenggaraan Posyandu (Mkn Tambahan, Kls Bumil, Lansia, Insentif)</t>
  </si>
  <si>
    <r>
      <t xml:space="preserve">Terdapat </t>
    </r>
    <r>
      <rPr>
        <b/>
        <sz val="11"/>
        <color theme="1"/>
        <rFont val="Arial"/>
        <family val="2"/>
      </rPr>
      <t>Sisa Lebih</t>
    </r>
    <r>
      <rPr>
        <sz val="11"/>
        <color theme="1"/>
        <rFont val="Arial"/>
        <family val="2"/>
      </rPr>
      <t xml:space="preserve"> Belanja Barang dan Jasa sebesar Rp 30.231.000,00 dengan rincian sebagai berikut :</t>
    </r>
  </si>
  <si>
    <t>Penyelenggaraan Informasi Publik Desa (Poster, Baliho dll)</t>
  </si>
  <si>
    <t>Terdapat Sisa Lebih Belanja Barang dan Jasa sebesar Rp 35.637.551,00 dengan rincian sebagai berikut :</t>
  </si>
  <si>
    <t>Terdapat Sisa Lebih Belanja Modal sebesar Rp 78.894.759,00 dengan rincian sebagai berikut :</t>
  </si>
  <si>
    <t>Terdapat Sisa Lebih Belanja Modal sebesar Rp 12.473.500,00 dengan rincian sebagai berikut :</t>
  </si>
  <si>
    <t>Pembangunan/Rehabilitasi/Peningkatan Sarana/Prasarana Perpustakaan</t>
  </si>
  <si>
    <t>Belanja Modal Gedung, Bangunan, Taman - Honor Pelaksanan Kegiatan</t>
  </si>
  <si>
    <t>Belanja Modal Gedung, Bangunan, Taman - Upah Tenaga Kerja</t>
  </si>
  <si>
    <t>Belanja Modal Jalan - Bahan Baku/Material</t>
  </si>
  <si>
    <t xml:space="preserve">'Pembangunan/Rehabilitasi/Peningkatan Balai Desa/Balai Kemasyarakatan </t>
  </si>
  <si>
    <t>Belanja Modal Gedung, Bangunan, Taman - Bahan Baku Material</t>
  </si>
  <si>
    <t>Belanja Modal Gedung, Bangunan, Taman - Administrasi Kegiatan</t>
  </si>
  <si>
    <t>'Pembangunan/Rehabilitasi/Peningkatan Sarana dan Prasarana Pariwisata Milik Desa</t>
  </si>
  <si>
    <r>
      <t xml:space="preserve">Terdapat </t>
    </r>
    <r>
      <rPr>
        <b/>
        <sz val="11"/>
        <color theme="1"/>
        <rFont val="Arial"/>
        <family val="2"/>
      </rPr>
      <t xml:space="preserve">Sisa Lebih </t>
    </r>
    <r>
      <rPr>
        <sz val="11"/>
        <color theme="1"/>
        <rFont val="Arial"/>
        <family val="2"/>
      </rPr>
      <t>Belanja Barang dan Jasa sebesar Rp10.190.000,00 dengan rincian sebagai berikut :</t>
    </r>
  </si>
  <si>
    <t>Pembinaan Jaga Warga</t>
  </si>
  <si>
    <t>Belanja Jasa HonorariumTenaga Ahli/Profesi/Konsultan/Narasumber</t>
  </si>
  <si>
    <t>Pembinaan Kader Pemberdayaan Masyarakat</t>
  </si>
  <si>
    <t>Optimalisasi Peran TKPK Desa</t>
  </si>
  <si>
    <r>
      <t>Terdapat</t>
    </r>
    <r>
      <rPr>
        <b/>
        <sz val="11"/>
        <color theme="1"/>
        <rFont val="Arial"/>
        <family val="2"/>
      </rPr>
      <t xml:space="preserve"> Sisa Lebih</t>
    </r>
    <r>
      <rPr>
        <sz val="11"/>
        <color theme="1"/>
        <rFont val="Arial"/>
        <family val="2"/>
      </rPr>
      <t xml:space="preserve"> Belanja Barang dan Jasa sebesar Rp 6.930.000,00 dengan rincian sebagai berikut :</t>
    </r>
  </si>
  <si>
    <t>Pembinaan dan Pengembangan Forum Anak Desa</t>
  </si>
  <si>
    <t xml:space="preserve">Belanja Bahan Perlengkapan untuk Diserahkan kepada Masyarakat </t>
  </si>
  <si>
    <t>Pelatihan Pengelolaan BUM Desa</t>
  </si>
  <si>
    <t>SILPA Tahun Sebelumnya (2024) sejumlah Rp 160.128.976,00, terdiri atas :</t>
  </si>
  <si>
    <t>Penyertaan Modal Desa sebesar Rp 265.000.000,00 diberikan kepada :</t>
  </si>
  <si>
    <t>BUMKAL SEMPULUR (Program Ketahanan Pangan)</t>
  </si>
  <si>
    <t>AGUS SUSANTO</t>
  </si>
  <si>
    <t>Jetis,         Januari 2026</t>
  </si>
  <si>
    <t>Penyertaan Modal Desa kepada :</t>
  </si>
  <si>
    <t>- BUMKal SEMPULUR</t>
  </si>
  <si>
    <t>- BUMKALMA SAPTO MANDIRI</t>
  </si>
  <si>
    <t>Jetis,        Januari 2026</t>
  </si>
  <si>
    <t>:  Jetis</t>
  </si>
  <si>
    <t>Kalurahan Jetis</t>
  </si>
  <si>
    <t>B2SA</t>
  </si>
  <si>
    <t>Kelompok</t>
  </si>
  <si>
    <t>;</t>
  </si>
  <si>
    <t xml:space="preserve">SILPA PAD </t>
  </si>
  <si>
    <t>SILPA DLL</t>
  </si>
  <si>
    <t>Silpa PBK</t>
  </si>
  <si>
    <t>Pemerintah Kalurahan Jetis</t>
  </si>
  <si>
    <t>Kapanewon Jetis Kabupaten Gunungkidul</t>
  </si>
  <si>
    <t>Kursi Besi/Metal</t>
  </si>
  <si>
    <t>Lemari Display</t>
  </si>
  <si>
    <t>Filing Cabinet Besi</t>
  </si>
  <si>
    <t>Focusing Screen/Layar LCD Projector</t>
  </si>
  <si>
    <t>Rak Besi</t>
  </si>
  <si>
    <t>Lemari Es</t>
  </si>
  <si>
    <t>Meja Kerja Kayu</t>
  </si>
  <si>
    <t>Sepeda Motor</t>
  </si>
  <si>
    <t>Lap Top</t>
  </si>
  <si>
    <t>Wireless Amplifier</t>
  </si>
  <si>
    <t>Camera Digital</t>
  </si>
  <si>
    <t>Printer (Peralatan Personal Komputer)</t>
  </si>
  <si>
    <t>Peralatan Olah Raga Lainnya</t>
  </si>
  <si>
    <t>Teralis</t>
  </si>
  <si>
    <t>Mimbar/Podium</t>
  </si>
  <si>
    <t>P.C Unit</t>
  </si>
  <si>
    <t>Telephone Mobile</t>
  </si>
  <si>
    <t>Uninterruptible Power Supply (UPS)</t>
  </si>
  <si>
    <t>Termometer Standar</t>
  </si>
  <si>
    <t>Perkakas Kantor Lainnya</t>
  </si>
  <si>
    <t>Tempat Tidur Besi</t>
  </si>
  <si>
    <t>Alat Bantu Lainnya</t>
  </si>
  <si>
    <t>Bangku Panjang Besi/Metal</t>
  </si>
  <si>
    <t>Lemari Besi/Metal</t>
  </si>
  <si>
    <t>LCD Projector/Infocus</t>
  </si>
  <si>
    <t>Microphone/Wireless MIC</t>
  </si>
  <si>
    <t>Audio Mixing Console</t>
  </si>
  <si>
    <t>Lemari Kayu</t>
  </si>
  <si>
    <t>Papan Visual/Papan Nama</t>
  </si>
  <si>
    <t>Mesin Kas Register</t>
  </si>
  <si>
    <t>Rak Kayu</t>
  </si>
  <si>
    <t>Kipas Angin</t>
  </si>
  <si>
    <t>Alat Pendingin Lainnya</t>
  </si>
  <si>
    <t>Mesin Barcode</t>
  </si>
  <si>
    <t>Alat Rumah Tangga Lainnya</t>
  </si>
  <si>
    <t>Wheel Meter</t>
  </si>
  <si>
    <t>Rol Meter</t>
  </si>
  <si>
    <t>Power Amplifier</t>
  </si>
  <si>
    <t>Microphone/Boom Stand</t>
  </si>
  <si>
    <t>Celling Mount Bracket</t>
  </si>
  <si>
    <t>Fire Tool (Garu Pacul/ Cangkul)</t>
  </si>
  <si>
    <t>Blade Shovel (Sekop Pemadam)</t>
  </si>
  <si>
    <t>Gergaji Chain Saw</t>
  </si>
  <si>
    <t>Peralatan SAR Mountenering Lainnya</t>
  </si>
  <si>
    <t>Gergaji</t>
  </si>
  <si>
    <t>Tangga Aluminium</t>
  </si>
  <si>
    <t>Keset Dan Tempat Sampah</t>
  </si>
  <si>
    <t>Dispenser</t>
  </si>
  <si>
    <t>Tiang Bendera</t>
  </si>
  <si>
    <t>Tangki Air</t>
  </si>
  <si>
    <t>Pompa Air</t>
  </si>
  <si>
    <t>A.C. Split</t>
  </si>
  <si>
    <t>Exhause Fan</t>
  </si>
  <si>
    <t>Pataka</t>
  </si>
  <si>
    <t>Mesin Absensi</t>
  </si>
  <si>
    <t>Alat Penghancur Kertas</t>
  </si>
  <si>
    <t>3.05.02.01.003</t>
  </si>
  <si>
    <t>3.05.01.04.020</t>
  </si>
  <si>
    <t>3.05.01.04.005</t>
  </si>
  <si>
    <t>3.05.01.05.058</t>
  </si>
  <si>
    <t>3.05.01.04.003</t>
  </si>
  <si>
    <t>3.05.02.04.001</t>
  </si>
  <si>
    <t>3.05.02.01.002</t>
  </si>
  <si>
    <t>3.02.01.04.001</t>
  </si>
  <si>
    <t>3.07.01.02.002</t>
  </si>
  <si>
    <t>3.06.02.06.002</t>
  </si>
  <si>
    <t>3.06.01.02.128</t>
  </si>
  <si>
    <t>3.07.02.03.003</t>
  </si>
  <si>
    <t>3.10.01.99.999</t>
  </si>
  <si>
    <t>3.05.02.01.004</t>
  </si>
  <si>
    <t>3.05.01.05.083</t>
  </si>
  <si>
    <t>3.05.02.06.037</t>
  </si>
  <si>
    <t>3.07.01.02.001</t>
  </si>
  <si>
    <t>3.06.02.01.004</t>
  </si>
  <si>
    <t>3.06.01.01.048</t>
  </si>
  <si>
    <t>3.03.03.03.012</t>
  </si>
  <si>
    <t>3.05.01.05.999</t>
  </si>
  <si>
    <t>3.05.02.01.010</t>
  </si>
  <si>
    <t>3.01.03.99.999</t>
  </si>
  <si>
    <t>3.05.02.01.006</t>
  </si>
  <si>
    <t>3.05.01.04.001</t>
  </si>
  <si>
    <t>3.05.01.05.048</t>
  </si>
  <si>
    <t>3.06.01.01.036</t>
  </si>
  <si>
    <t>3.06.01.01.001</t>
  </si>
  <si>
    <t>3.05.01.04.002</t>
  </si>
  <si>
    <t>3.05.02.06.002</t>
  </si>
  <si>
    <t>3.05.01.05.008</t>
  </si>
  <si>
    <t>3.05.01.02.004</t>
  </si>
  <si>
    <t>3.05.01.04.004</t>
  </si>
  <si>
    <t>3.05.02.04.006</t>
  </si>
  <si>
    <t>3.05.02.04.999</t>
  </si>
  <si>
    <t>3.06.01.04.045</t>
  </si>
  <si>
    <t>3.06.01.04.999</t>
  </si>
  <si>
    <t>3.05.02.99.999</t>
  </si>
  <si>
    <t>3.03.03.01.131</t>
  </si>
  <si>
    <t>3.03.02.11.003</t>
  </si>
  <si>
    <t>3.06.01.01.060</t>
  </si>
  <si>
    <t>3.05.02.06.008</t>
  </si>
  <si>
    <t>3.06.01.01.037</t>
  </si>
  <si>
    <t>3.06.01.01.081</t>
  </si>
  <si>
    <t>3.01.03.12.025</t>
  </si>
  <si>
    <t>3.01.03.12.006</t>
  </si>
  <si>
    <t>3.03.01.06.011</t>
  </si>
  <si>
    <t>3.01.03.14.999</t>
  </si>
  <si>
    <t>3.03.02.07.001</t>
  </si>
  <si>
    <t>3.05.02.06.034</t>
  </si>
  <si>
    <t>1.01.03.05.004</t>
  </si>
  <si>
    <t>3.05.02.06.036</t>
  </si>
  <si>
    <t>3.05.02.06.030</t>
  </si>
  <si>
    <t>3.05.02.06.081</t>
  </si>
  <si>
    <t>3.01.03.05.010</t>
  </si>
  <si>
    <t>3.05.02.04.004</t>
  </si>
  <si>
    <t>3.05.02.04.007</t>
  </si>
  <si>
    <t>3.05.02.06.031</t>
  </si>
  <si>
    <t>3.05.01.05.017</t>
  </si>
  <si>
    <t>3.05.01.05.015</t>
  </si>
  <si>
    <t>2010</t>
  </si>
  <si>
    <t>2014</t>
  </si>
  <si>
    <t>14/09/2015</t>
  </si>
  <si>
    <t>29/11/2016</t>
  </si>
  <si>
    <t>29/12/2016</t>
  </si>
  <si>
    <t>29/12/2017</t>
  </si>
  <si>
    <t>03/02/2018</t>
  </si>
  <si>
    <t>16/07/2018</t>
  </si>
  <si>
    <t>21/12/2018</t>
  </si>
  <si>
    <t>21/02/2019</t>
  </si>
  <si>
    <t>18/03/2019</t>
  </si>
  <si>
    <t>22/08/2020</t>
  </si>
  <si>
    <t>26/09/2020</t>
  </si>
  <si>
    <t>28/09/2020</t>
  </si>
  <si>
    <t>19/10/2020</t>
  </si>
  <si>
    <t>27/10/2020</t>
  </si>
  <si>
    <t>04/12/2020</t>
  </si>
  <si>
    <t>2021</t>
  </si>
  <si>
    <t>11/10/2021</t>
  </si>
  <si>
    <t>21/10/2021</t>
  </si>
  <si>
    <t>26/11/2021</t>
  </si>
  <si>
    <t>28/12/2021</t>
  </si>
  <si>
    <t>2022</t>
  </si>
  <si>
    <t>23/09/2022</t>
  </si>
  <si>
    <t>08/12/2022</t>
  </si>
  <si>
    <t>21/12/2022</t>
  </si>
  <si>
    <t>26/12/2022</t>
  </si>
  <si>
    <t>26/06/2023</t>
  </si>
  <si>
    <t>07/11/2023</t>
  </si>
  <si>
    <t>22/11/2023</t>
  </si>
  <si>
    <t>18/12/2023</t>
  </si>
  <si>
    <t>22/12/2023</t>
  </si>
  <si>
    <t>2023</t>
  </si>
  <si>
    <t>B, RR</t>
  </si>
  <si>
    <t>RB</t>
  </si>
  <si>
    <t>Bangunan Gedung Kantor Permanen</t>
  </si>
  <si>
    <t>Bangunan Gedung Pendidikan Permanen</t>
  </si>
  <si>
    <t>Gedung Pertokoan/Koperasi/Pasar Permanen</t>
  </si>
  <si>
    <t>Bangunan Parkir Terbuka Permanen</t>
  </si>
  <si>
    <t>Bangunan Gudang Lainnya</t>
  </si>
  <si>
    <t>Bangunan Gedung Tempat Olah Raga Lainnya</t>
  </si>
  <si>
    <t>Bangunan Gedung Kantor Lainnya</t>
  </si>
  <si>
    <t>Candi/Tugu Peringatan/Prasasti Lainnya</t>
  </si>
  <si>
    <t>Bangunan Gedung Perpustakaan Permanen</t>
  </si>
  <si>
    <t>Bangunan Fasilitas Umum Lainnya</t>
  </si>
  <si>
    <t>4.01.01.01.001</t>
  </si>
  <si>
    <t>4.01.01.09.001</t>
  </si>
  <si>
    <t>4.01.01.11.001</t>
  </si>
  <si>
    <t>4.01.01.24.001</t>
  </si>
  <si>
    <t>4.01.01.02.999</t>
  </si>
  <si>
    <t>4.01.01.10.999</t>
  </si>
  <si>
    <t>4.01.01.01.999</t>
  </si>
  <si>
    <t>4.02.01.99.999</t>
  </si>
  <si>
    <t>4.01.01.14.001</t>
  </si>
  <si>
    <t>4.01.01.23.999</t>
  </si>
  <si>
    <t>31/03/2015</t>
  </si>
  <si>
    <t>21/07/2017</t>
  </si>
  <si>
    <t>31/08/2018</t>
  </si>
  <si>
    <t>26/11/2018</t>
  </si>
  <si>
    <t>26/07/2022</t>
  </si>
  <si>
    <t>Kantor Balai Kalurahan</t>
  </si>
  <si>
    <t>Gedung KB Tunas Mandiri II Padukuhan Mojosari</t>
  </si>
  <si>
    <t>KIOS JETIS 3 UNIT (Dari Kios Bu Mukarsilah sampai Kios Pak Musmulyadi)</t>
  </si>
  <si>
    <t>KIOS JETIS 9 UNIT (Dari KUBE sampai Kios Bu Sulistri)</t>
  </si>
  <si>
    <t>KB Bina Insani I Padukuhan Temanggung</t>
  </si>
  <si>
    <t>KB Bina Insani II Padukuhan Karang</t>
  </si>
  <si>
    <t>KB Tunas Mandiri I Padukuhan Cekel</t>
  </si>
  <si>
    <t>Gedung TK Masyithoh Padukuhan Mojosari</t>
  </si>
  <si>
    <t>Gedung KB Tunas Mandiri IV Padukuhan Dondong</t>
  </si>
  <si>
    <t>Gedung TK Masyithoh Cekel II</t>
  </si>
  <si>
    <t>Gedung KB Tunas Mandiri III Padukuhan Jetis</t>
  </si>
  <si>
    <t>Gedung TK Masyithoh Dondong</t>
  </si>
  <si>
    <t>KIOS JADAG SEBELAH UTARA JALAN 6 UNIT (Dari Angkringan Pak Suranto sampai Kios Pak Hari Sujono)</t>
  </si>
  <si>
    <t>KIOS JADAG SEBELAH UTARA JALAN 5 UNIT (Dari Kios Bu Sulaningsih sampai Kios Pak Sutadi Harjono)</t>
  </si>
  <si>
    <t>KIOS JADAG SEBELAH UTARA JALAN 3 UNIT (Dari Kios Pak Widodo sampai Kios Pak Sutarji)</t>
  </si>
  <si>
    <t>KIOS JADAG SEBELAH SELATAN JALAN 6 UNIT (Dari Kios Bu Mursih sampai Kios Pak Joko Prandono)</t>
  </si>
  <si>
    <t>KIOS WULUH 6 UNIT (Dari Kios Pak Supardi sampai Kios Bu Bungawati)</t>
  </si>
  <si>
    <t>Kon Blok Kios Jadag Sebelah Utara Jalan (Blok Angkringan Pak Suranto)</t>
  </si>
  <si>
    <t>Kon Blok Kios Jadag Sebelah Utara Jalan (Blok Cucian Motor &amp; Mobil)</t>
  </si>
  <si>
    <t>Kon Blok Kios Jadag Sebelah Utara Jalan (Blok Warung Makan Pak Widodo)</t>
  </si>
  <si>
    <t>Kon Blok Kios Jadag Sebelah Selatan Jalan (Blok Angkringan Pak Ndono)</t>
  </si>
  <si>
    <t>Kon Blok Kios Jetis Sebelah Selatan Jalan (Blok KUBE)</t>
  </si>
  <si>
    <t>Gudang Lumbung Pangan di Padukuhan Cekel</t>
  </si>
  <si>
    <t>Talud di Lapangan Tlogo Sudang</t>
  </si>
  <si>
    <t>Talud Lahan Calon Balai</t>
  </si>
  <si>
    <t>Bangunan Joglo Pusat Oleh-Oleh.</t>
  </si>
  <si>
    <t>Gedung Perpustakaan TPBIS Ngudi Kawruh</t>
  </si>
  <si>
    <t>Amfiteater</t>
  </si>
  <si>
    <t>Tidak Ada Merk / Kursi Putar</t>
  </si>
  <si>
    <t>Futura / Kursi Busa</t>
  </si>
  <si>
    <t>Tidak Ada Merk / Etalase 4 Susun</t>
  </si>
  <si>
    <t>VIP / 4 susun</t>
  </si>
  <si>
    <t>Brother / 3 susun</t>
  </si>
  <si>
    <t>BenQ</t>
  </si>
  <si>
    <t>Informa / 6 susun rak 2 muka</t>
  </si>
  <si>
    <t>Toshiba</t>
  </si>
  <si>
    <t>Tidak Ada Merk / Setengah Biro</t>
  </si>
  <si>
    <t>Brother / 4 Susun</t>
  </si>
  <si>
    <t>Kirana</t>
  </si>
  <si>
    <t>Asus / Notebook X453M</t>
  </si>
  <si>
    <t>BMA</t>
  </si>
  <si>
    <t>Canon / DSLR</t>
  </si>
  <si>
    <t>Hp Laserjet P1102</t>
  </si>
  <si>
    <t>Tidak ada merk / Gawang</t>
  </si>
  <si>
    <t>HP Laserjet M102A</t>
  </si>
  <si>
    <t>Tidak Ada Merk / Kursi Kayu Busa</t>
  </si>
  <si>
    <t>Tidak Ada Merk / Besi Ulir</t>
  </si>
  <si>
    <t>HP 240 G6 Intel Core i3-6006U</t>
  </si>
  <si>
    <t>Tidak Ada Merk/ Setengah Biro Tanpa Laci</t>
  </si>
  <si>
    <t>Tidak Ada Merk / Tukang</t>
  </si>
  <si>
    <t>Asus / Vivo AIO V241FA</t>
  </si>
  <si>
    <t>epson L5190</t>
  </si>
  <si>
    <t>oppo A31 6GB</t>
  </si>
  <si>
    <t xml:space="preserve">Samsung Galaxy Tab 4 </t>
  </si>
  <si>
    <t>PRO LINK / 1200 VA</t>
  </si>
  <si>
    <t>Epson / L3150</t>
  </si>
  <si>
    <t>HP / AIO 22 - Dd0117d</t>
  </si>
  <si>
    <t>Termometer Infrared / LC-166</t>
  </si>
  <si>
    <t>Termometer Infrared Noncontact / Dikang HG03</t>
  </si>
  <si>
    <t>Kotak Suara / Bahan Alumunium</t>
  </si>
  <si>
    <t>Tidak Ada Merk / Single Bed, Termasuk 1 buah bantal dan sprei warna biru</t>
  </si>
  <si>
    <t>Tidak Ada Merk / Tabung Oksigen</t>
  </si>
  <si>
    <t>Monitor Merk Magix 19", CPU Merk Alcatroz Futura N2000</t>
  </si>
  <si>
    <t>Tidak Ada Merk / 4 dudukan</t>
  </si>
  <si>
    <t>Importa / Sliding 2 pintu kaca</t>
  </si>
  <si>
    <t>Bilik Suara / Bahan Alumunium</t>
  </si>
  <si>
    <t>epson EB-X500</t>
  </si>
  <si>
    <t>Huzler HZ-866D</t>
  </si>
  <si>
    <t>HW BESTMIX 6</t>
  </si>
  <si>
    <t>Importa / M202</t>
  </si>
  <si>
    <t>Importa / IMP O56</t>
  </si>
  <si>
    <t>Importa / IMP OC-W3</t>
  </si>
  <si>
    <t>Monitor Samsung 24", CPU Merk PC Cooler, Processor AMD Ryzen 5 5600G, Keyboard Logitech, Mouse Logitech, Speaker Merk Tecnix</t>
  </si>
  <si>
    <t>Prolink / Pro700SFC</t>
  </si>
  <si>
    <t>HP / 14s-dq4016TU</t>
  </si>
  <si>
    <t>XIAOMI TV A2 32"</t>
  </si>
  <si>
    <t>Tidak Ada Merk / 4 susun</t>
  </si>
  <si>
    <t>Tidak Ada Merk</t>
  </si>
  <si>
    <t>Tidak Ada Merk / Neon Box</t>
  </si>
  <si>
    <t>Tidak Ada Merk / Mesin Kasir</t>
  </si>
  <si>
    <t>Activ Furniture / 4 Susun Warna Warni</t>
  </si>
  <si>
    <t>Activ Furniture / 3 Susun Warna Warni</t>
  </si>
  <si>
    <t>Antropometri Kit 10</t>
  </si>
  <si>
    <t>Miyako KAW-1662</t>
  </si>
  <si>
    <t>Sharp SCH-210FS</t>
  </si>
  <si>
    <t>Blueprint Omni OM200 2D</t>
  </si>
  <si>
    <t>Monitor LG, Intel Core i5 6500, Mainboard Asrock H310M</t>
  </si>
  <si>
    <t>Redmi Pad SE 4/128</t>
  </si>
  <si>
    <t>Blueprint ECO 80D</t>
  </si>
  <si>
    <t>Canon LBP6030</t>
  </si>
  <si>
    <t>Prolink PRO700SFC</t>
  </si>
  <si>
    <t>Mirani</t>
  </si>
  <si>
    <t>Brother BR-800</t>
  </si>
  <si>
    <t>tidak Ada Merk / Kas Drawer</t>
  </si>
  <si>
    <t>tidak Ada Merk</t>
  </si>
  <si>
    <t>Informa / 3 susun</t>
  </si>
  <si>
    <t>Deli / Digital</t>
  </si>
  <si>
    <t>Haston / Meteran Gulung</t>
  </si>
  <si>
    <t>Epson L3250</t>
  </si>
  <si>
    <t>Tidak Ada Merk / 4 tingkat single side</t>
  </si>
  <si>
    <t>Asus Vivobook 9PK1JC38</t>
  </si>
  <si>
    <t>Sennheiser</t>
  </si>
  <si>
    <t>Kentmax</t>
  </si>
  <si>
    <t>Alpha Seven</t>
  </si>
  <si>
    <t>SPL Audio</t>
  </si>
  <si>
    <t>Asus TUF Gaming A15</t>
  </si>
  <si>
    <t>Tidak Ada Merk / Cangkul</t>
  </si>
  <si>
    <t>Tidak Ada Merk / Sekop</t>
  </si>
  <si>
    <t>Maestro Plus / CS6500L</t>
  </si>
  <si>
    <t>Terra / Sepatu Boot</t>
  </si>
  <si>
    <t>AAA / Helm Safety</t>
  </si>
  <si>
    <t>Ghana / Jas Hujan</t>
  </si>
  <si>
    <t>Tassoti</t>
  </si>
  <si>
    <t>H&amp;L / Tangga Lipat</t>
  </si>
  <si>
    <t>aoki AK-3686A / Senter Kepala</t>
  </si>
  <si>
    <t>Tempat Sampah</t>
  </si>
  <si>
    <t>Estilo / Kursi Busa</t>
  </si>
  <si>
    <t>Miyako</t>
  </si>
  <si>
    <t>Penguin</t>
  </si>
  <si>
    <t>Shimizu</t>
  </si>
  <si>
    <t>Panasonic</t>
  </si>
  <si>
    <t>Bendera Pataka Kabupaten Gunungkidul</t>
  </si>
  <si>
    <t>Informa / Kursi Busa</t>
  </si>
  <si>
    <t>Fingerspot.io / Face, Finger &amp; Card Detector</t>
  </si>
  <si>
    <t>Deli / 23 Liter E9952</t>
  </si>
  <si>
    <t>Saluran Drainage</t>
  </si>
  <si>
    <t>Jalan Khusus Lainnya</t>
  </si>
  <si>
    <t>Jalan Lainnya</t>
  </si>
  <si>
    <t>Switcher/Menara Antena Lainnya</t>
  </si>
  <si>
    <t>Jalan Desa Lainnya</t>
  </si>
  <si>
    <t>Jaringan Listrik Lainnya</t>
  </si>
  <si>
    <t>Jaringan Air Minum Lainnya</t>
  </si>
  <si>
    <t>5.02.04.04.002</t>
  </si>
  <si>
    <t>5.01.01.02.008</t>
  </si>
  <si>
    <t>5.01.01.99.999</t>
  </si>
  <si>
    <t>3.06.03.20.999</t>
  </si>
  <si>
    <t>5.01.01.01.999</t>
  </si>
  <si>
    <t>5.04.02.99.999</t>
  </si>
  <si>
    <t>5.04.01.99.999</t>
  </si>
  <si>
    <t>29/09/2016</t>
  </si>
  <si>
    <t>27/06/2017</t>
  </si>
  <si>
    <t>16/10/2017</t>
  </si>
  <si>
    <t>25/11/2019</t>
  </si>
  <si>
    <t>Cekel RT 002-003</t>
  </si>
  <si>
    <t>Jetis RT 007 (Pindul-Ngasem)</t>
  </si>
  <si>
    <t>Cekel RT 003</t>
  </si>
  <si>
    <t>Karang RT 007</t>
  </si>
  <si>
    <t>Balai Kalurahan Jetis</t>
  </si>
  <si>
    <t>Dondong RT 003 (Selatan Rumah Pak Jaman)</t>
  </si>
  <si>
    <t>Karang RT 001</t>
  </si>
  <si>
    <t>Cekel RT 10 (Kemesu)</t>
  </si>
  <si>
    <t>Dondong RT 002</t>
  </si>
  <si>
    <t>Temanggung RT 007</t>
  </si>
  <si>
    <t>Mojosari RT 001</t>
  </si>
  <si>
    <t>Temanggung RT 002</t>
  </si>
  <si>
    <t>Karang (Wuluh-RSUD)</t>
  </si>
  <si>
    <t>Jetis (Kios Bunga Wuluh ke Utara)</t>
  </si>
  <si>
    <t>Jetis RT 004</t>
  </si>
  <si>
    <t>Jetis RT 008</t>
  </si>
  <si>
    <t>Balai Padukuhan Temanggung</t>
  </si>
  <si>
    <t>Balai Padukuhan Cekel</t>
  </si>
  <si>
    <t>Dondong RT 006</t>
  </si>
  <si>
    <t>Karang RT 008</t>
  </si>
  <si>
    <t>Temanggung RT 001-002</t>
  </si>
  <si>
    <t>Dondong (Gandu - Karang)</t>
  </si>
  <si>
    <t>Mojosari RT 005</t>
  </si>
  <si>
    <t>Dondong RT 009</t>
  </si>
  <si>
    <t>Cekel RT 010</t>
  </si>
  <si>
    <t>Cekel RT 011</t>
  </si>
  <si>
    <t>Jetis RT 003</t>
  </si>
  <si>
    <t>Jetis RT 007</t>
  </si>
  <si>
    <t>Karang RT 003</t>
  </si>
  <si>
    <t>Karang RT 002</t>
  </si>
  <si>
    <t>Cekel RT 008</t>
  </si>
  <si>
    <t>Cekel RT 005</t>
  </si>
  <si>
    <t>Mojosari RT 003</t>
  </si>
  <si>
    <t>Temanggung RT 001</t>
  </si>
  <si>
    <t>Pusat Oleh-Oleh Bumkal Sempulur</t>
  </si>
  <si>
    <t>Karang RT 005</t>
  </si>
  <si>
    <t>Dondong RT 09-110</t>
  </si>
  <si>
    <t>Cekel RT 006</t>
  </si>
  <si>
    <t>Mojosari RT 002</t>
  </si>
  <si>
    <t>Dondong RT 001</t>
  </si>
  <si>
    <t>Temanggung RT 005</t>
  </si>
  <si>
    <t>Cekel RT 001</t>
  </si>
  <si>
    <t>Jetis (Barat Makam)</t>
  </si>
  <si>
    <t>Buku Lainnya</t>
  </si>
  <si>
    <t>Tanaman Keras</t>
  </si>
  <si>
    <t>6.01.01.01.999</t>
  </si>
  <si>
    <t>6.05.01.01.001</t>
  </si>
  <si>
    <t>Hibah Lainnya</t>
  </si>
  <si>
    <t>Hibah Setda</t>
  </si>
  <si>
    <t>Pembelian, DDS</t>
  </si>
  <si>
    <t>Jetis, 31 Desember 2025</t>
  </si>
  <si>
    <t>SUBEKTIASIH</t>
  </si>
  <si>
    <t>LAPORAN BULANAN REALISASI KEGIATAN</t>
  </si>
  <si>
    <t>PERIODE 01 JULI - 30 DESEMBER ( SEMESTER KEDUA )</t>
  </si>
  <si>
    <t>JETIS</t>
  </si>
  <si>
    <t>SAPTOSARI</t>
  </si>
  <si>
    <t>GUNUNGKIDUL</t>
  </si>
  <si>
    <t xml:space="preserve">                                                                                                                                                                                                         </t>
  </si>
  <si>
    <t>NAMA  OUTPUT</t>
  </si>
  <si>
    <t>Dana Desa
 (Rp)</t>
  </si>
  <si>
    <t>Alokasi Dana Desa 
(Rp)</t>
  </si>
  <si>
    <t>Lain- Lain 
(Rp)</t>
  </si>
  <si>
    <t>Bentuk Lain</t>
  </si>
  <si>
    <t>Anggaran
(Rp)</t>
  </si>
  <si>
    <t/>
  </si>
  <si>
    <t>01</t>
  </si>
  <si>
    <t>Tersedia penghasilan dan tunjangan kepala Desa</t>
  </si>
  <si>
    <t xml:space="preserve">Penghasilan Tetap dan Tunjangan Kepala Desa </t>
  </si>
  <si>
    <t>02</t>
  </si>
  <si>
    <t>Tunjangan Kepala Desa</t>
  </si>
  <si>
    <t>- Tunjangan Lurah</t>
  </si>
  <si>
    <t>ob</t>
  </si>
  <si>
    <t>Ob</t>
  </si>
  <si>
    <t>- THR Lurah</t>
  </si>
  <si>
    <t>Tersedia penghasilan tetap bagi perangkat Desa</t>
  </si>
  <si>
    <t>2</t>
  </si>
  <si>
    <t xml:space="preserve">Penghasilan Tetap dan Tunjangan Perangkat Desa </t>
  </si>
  <si>
    <t>Penghasilan Tetap Perangkat Desa</t>
  </si>
  <si>
    <t>- Carik</t>
  </si>
  <si>
    <t>- Jagabaya</t>
  </si>
  <si>
    <t>- Ulu-ulu</t>
  </si>
  <si>
    <t>- Kamituwa</t>
  </si>
  <si>
    <t>- Kaur Tata Laksana</t>
  </si>
  <si>
    <t>- Kaur Danarta</t>
  </si>
  <si>
    <t>- Kaur Pangripto</t>
  </si>
  <si>
    <t>- Dukuh Jetis</t>
  </si>
  <si>
    <t>- Dukuh Temanggung</t>
  </si>
  <si>
    <t>- Dukuh Cekel</t>
  </si>
  <si>
    <t>- Dukuh Dondong</t>
  </si>
  <si>
    <t>- Dukuh Mojosari</t>
  </si>
  <si>
    <t>- Dukuh Karang</t>
  </si>
  <si>
    <t>- Staf Pamong Lama</t>
  </si>
  <si>
    <t>- Staf Pamong Baru</t>
  </si>
  <si>
    <t>Tunjangan Perangkat Desa</t>
  </si>
  <si>
    <t>- THR Carik</t>
  </si>
  <si>
    <t xml:space="preserve">Ob </t>
  </si>
  <si>
    <t>- THR Kaur dan Pelaksana Teknis</t>
  </si>
  <si>
    <t>- THR Dukuh</t>
  </si>
  <si>
    <t>- THR Staf Lama</t>
  </si>
  <si>
    <t>- THR staf baru</t>
  </si>
  <si>
    <t>03</t>
  </si>
  <si>
    <t>Tersedianya jaminan sosial bagi perangkat Desa</t>
  </si>
  <si>
    <t>3</t>
  </si>
  <si>
    <t xml:space="preserve">Jaminan Sosial Kepala Desa dan Perangkat Desa </t>
  </si>
  <si>
    <t>Jaminan Kesehatan Perangkat Desa</t>
  </si>
  <si>
    <t>- Jaminan Kesehatan Staf Lama</t>
  </si>
  <si>
    <t>- Jaminan Kesehatan Staf Baru</t>
  </si>
  <si>
    <t>04</t>
  </si>
  <si>
    <t>Jaminan Ketenagakerjaan Perangkat Desa</t>
  </si>
  <si>
    <t>- JHT Carik ( 3,7 % )</t>
  </si>
  <si>
    <t>- JP Carik ( 2 % )</t>
  </si>
  <si>
    <t>- JKK Carik ( 0,24 % )</t>
  </si>
  <si>
    <t>- JKM Carik ( 0,3 % )</t>
  </si>
  <si>
    <t xml:space="preserve">- JHT Kaur dan Pelaksana Teknis </t>
  </si>
  <si>
    <t>- JP Kaur dan Pelaksana Teknis</t>
  </si>
  <si>
    <t>- JKK Kaur dan Pelaksana Teknis</t>
  </si>
  <si>
    <t>- JKM Kaur dan Pelaksana Teknis</t>
  </si>
  <si>
    <t>- JHT Dukuh</t>
  </si>
  <si>
    <t>- JP Dukuh</t>
  </si>
  <si>
    <t>- JKK Dukuh</t>
  </si>
  <si>
    <t>- JKM Dukuh</t>
  </si>
  <si>
    <t>- JHT Staf Lama</t>
  </si>
  <si>
    <t>- JP Staf Lama</t>
  </si>
  <si>
    <t>- JKK Staf Lama</t>
  </si>
  <si>
    <t>- JKM Staf Lama</t>
  </si>
  <si>
    <t>- JHT Staf Baru</t>
  </si>
  <si>
    <t>- JP Staf Baru</t>
  </si>
  <si>
    <t>- JKK Staf Baru</t>
  </si>
  <si>
    <t>- JKM Staf Baru</t>
  </si>
  <si>
    <t>Penyediaan Operasional Pemerintah Desa (ATK, Honor PKPKD dan PPKD dll)</t>
  </si>
  <si>
    <t>Tersedianya operasional bagi pemerintah Desa</t>
  </si>
  <si>
    <t xml:space="preserve">Belanja Barang dan Jasa </t>
  </si>
  <si>
    <t xml:space="preserve">Belanja Alat Tulis Kantor dan Benda Pos </t>
  </si>
  <si>
    <t xml:space="preserve">- Belanja ATK Operasional pemerintah Kalurahan </t>
  </si>
  <si>
    <t>Ls</t>
  </si>
  <si>
    <t>- Belanja ATK Operasional pemerintah Kalurahan</t>
  </si>
  <si>
    <t>- Belanja Materai Operasional Pemerintah Kalurahan</t>
  </si>
  <si>
    <t>Lbr</t>
  </si>
  <si>
    <t>lbr</t>
  </si>
  <si>
    <t>ls</t>
  </si>
  <si>
    <t>Belanja Perlengkapan Alat Rumah Tangga dan Bahan Kebersihan</t>
  </si>
  <si>
    <t>- Belanja Alat rumah tangga dan kebrsihan</t>
  </si>
  <si>
    <t>- Belanja Dispenser</t>
  </si>
  <si>
    <t>05</t>
  </si>
  <si>
    <t>- Cetak dan Penggandaan</t>
  </si>
  <si>
    <t>06</t>
  </si>
  <si>
    <t>- Minum dan Snack Rapat Koordinasi</t>
  </si>
  <si>
    <t>or</t>
  </si>
  <si>
    <t>08</t>
  </si>
  <si>
    <t>Belanja Bendera/ Umbul-umbul/ Spanduk</t>
  </si>
  <si>
    <t>- Bendera merah putih</t>
  </si>
  <si>
    <t>bh</t>
  </si>
  <si>
    <t>- Bendera Pataka</t>
  </si>
  <si>
    <t>- Umbul- umbul podang ngisep sari</t>
  </si>
  <si>
    <t>09</t>
  </si>
  <si>
    <t>Belanja Pakaian Dinas/Seragam/Atribut</t>
  </si>
  <si>
    <t>- Name tag pamong dan staf</t>
  </si>
  <si>
    <t>Belanja barang perlengkapan lainnya</t>
  </si>
  <si>
    <t>- Tiang bendera pataka</t>
  </si>
  <si>
    <t>- Tiang bendera umbul-umbul</t>
  </si>
  <si>
    <t xml:space="preserve">Belanja Jasa Honorarium PKPKD dan PPKD </t>
  </si>
  <si>
    <t>- Belanja Honorarium PKPKD dan PPKD</t>
  </si>
  <si>
    <t xml:space="preserve">Belanja jasa Honorarium Petugas </t>
  </si>
  <si>
    <t>- Upah Tenaga Kebersihan</t>
  </si>
  <si>
    <t xml:space="preserve">Hari </t>
  </si>
  <si>
    <t>hari</t>
  </si>
  <si>
    <t>- Tunjangan Hari raya THL</t>
  </si>
  <si>
    <t>- Perjalanan Dinas Lurah</t>
  </si>
  <si>
    <t>op</t>
  </si>
  <si>
    <t>- Perjalanan Dinas Pamong Kalurahan</t>
  </si>
  <si>
    <t>- Perjalanan Kapanewon Lurah</t>
  </si>
  <si>
    <t>0p</t>
  </si>
  <si>
    <t>- Perjalanan Kapanewon Pamong</t>
  </si>
  <si>
    <t>- Perjalanan Luar Kabupaten Lurah</t>
  </si>
  <si>
    <t>oH</t>
  </si>
  <si>
    <t>- Perjalanan Luar Kabupaten Pamong</t>
  </si>
  <si>
    <t xml:space="preserve">Op </t>
  </si>
  <si>
    <t>- Perjalanan Dalam Kabupaten Pamong</t>
  </si>
  <si>
    <t>Bulan</t>
  </si>
  <si>
    <t>bln</t>
  </si>
  <si>
    <t xml:space="preserve">Belanja Jasa Langganan Air Bersih </t>
  </si>
  <si>
    <t>99</t>
  </si>
  <si>
    <t>Belanja Operasional Perkantoran lainnya</t>
  </si>
  <si>
    <t>- Pajak Bunga Bank</t>
  </si>
  <si>
    <t>- Biaya Retribusi Sampah Bulanan</t>
  </si>
  <si>
    <t>- Biaya Admin Bank</t>
  </si>
  <si>
    <t>Tersedianya tunjangan BPD</t>
  </si>
  <si>
    <t xml:space="preserve">Belanja Pegawai </t>
  </si>
  <si>
    <t>4</t>
  </si>
  <si>
    <t>Tunjangan Kedudukan BPD</t>
  </si>
  <si>
    <t>- Tunjangan BPD</t>
  </si>
  <si>
    <t>- THR BPD</t>
  </si>
  <si>
    <t>Belanja operasional perkantoran lainnya</t>
  </si>
  <si>
    <t>Penyediaan Operasional BPD (rapat, ATK, Makan Minum, Pakaian Seragam, Listrik dll)</t>
  </si>
  <si>
    <t>Tersedianya Operasional Pemerintah Desa</t>
  </si>
  <si>
    <t xml:space="preserve">Belanja Barang Cetak dan Penggandaan </t>
  </si>
  <si>
    <t xml:space="preserve">-Minum Snack Rapat </t>
  </si>
  <si>
    <t>- Makan Minum Snack</t>
  </si>
  <si>
    <t>0r</t>
  </si>
  <si>
    <t>07</t>
  </si>
  <si>
    <t>Belanja jasa Honorarium Lainnya</t>
  </si>
  <si>
    <t>os</t>
  </si>
  <si>
    <t>Insentif Bagi Ketua RT dan RW</t>
  </si>
  <si>
    <r>
      <t>Belanja Insentif/Operasional RT/RW</t>
    </r>
    <r>
      <rPr>
        <b/>
        <sz val="8"/>
        <rFont val="Arial"/>
        <family val="2"/>
      </rPr>
      <t/>
    </r>
  </si>
  <si>
    <t>Jaminan ketenagakerjaan RT/RW</t>
  </si>
  <si>
    <t>Penyediaan Operasional Pemerintah Desa yang bersumber dari Dana Desa</t>
  </si>
  <si>
    <t>Operasional Pemerintah Desa Tercukupi</t>
  </si>
  <si>
    <t>- ATK Koordinasi Pemerintah Kalurahan</t>
  </si>
  <si>
    <t xml:space="preserve">Ls </t>
  </si>
  <si>
    <t xml:space="preserve">Ls  </t>
  </si>
  <si>
    <t>- ATK Kegiatan seremonial Desa HUT RI</t>
  </si>
  <si>
    <t>- ATK Kegiatan Kepemudaan</t>
  </si>
  <si>
    <t>- Cetak Penggandaan Kegiatan Operasional Pemkal</t>
  </si>
  <si>
    <t>- Cetak Penggandaan Kegiatan Seremonial HUT RI</t>
  </si>
  <si>
    <t>- Cetak Penggandaan Kegiatan Kepemudaan</t>
  </si>
  <si>
    <t>- Makan Minum Snack Rakor</t>
  </si>
  <si>
    <t>- Minum Snack Safari Tarawih</t>
  </si>
  <si>
    <t>- Minum Snack Syawalan</t>
  </si>
  <si>
    <t>- Minum Snack Persiapan Kegiatan HUT RI</t>
  </si>
  <si>
    <t>- Makan Minum Snack Pelaksanaan HUT RI</t>
  </si>
  <si>
    <t xml:space="preserve">- Minum Snack Pelaksanaan Kegiatan Kepemudaan </t>
  </si>
  <si>
    <t>- Minum Snack Persiapan  Kepemudaan</t>
  </si>
  <si>
    <t>Belanja Jasa Honorarium Tenaga Ahli/Profesi/Konsultan/Narasumber</t>
  </si>
  <si>
    <t>- Honor Da'I Kegiatan kunjungan Safari Tarawih</t>
  </si>
  <si>
    <t xml:space="preserve">Kali </t>
  </si>
  <si>
    <t>- Honor tim Juri kegiatan HUT RI</t>
  </si>
  <si>
    <t>Ok</t>
  </si>
  <si>
    <t xml:space="preserve">- Honor tim Juri kegiatan Kepemudaan </t>
  </si>
  <si>
    <t>- Hadiah lomba juara I kegiatan HUT RI</t>
  </si>
  <si>
    <t>- Hadiah lomba juara II kegiatan HUT RI</t>
  </si>
  <si>
    <t>- Hadiah lomba juara III kegiatan HUT RI</t>
  </si>
  <si>
    <t xml:space="preserve">- Hadiah lomba juara I kegiatan Kepemudaan </t>
  </si>
  <si>
    <t xml:space="preserve">- Hadiah lomba juara II kegiatan Kepemudaan </t>
  </si>
  <si>
    <t xml:space="preserve">- Hadiah lomba juara III kegiatan Kepemudaan </t>
  </si>
  <si>
    <t xml:space="preserve">- Hadiah lomba juara IV kegiatan Kepemudaan </t>
  </si>
  <si>
    <t xml:space="preserve">- Hadiah lomba juara V kegiatan Kepemudaan </t>
  </si>
  <si>
    <t xml:space="preserve">- Hadiah lomba juara VI kegiatan Kepemudaan </t>
  </si>
  <si>
    <t>- Stimulan 6 Padukuhan Kegiatan Seremonial Desa HUT RI</t>
  </si>
  <si>
    <t>Padukuhan</t>
  </si>
  <si>
    <t xml:space="preserve">Penyediaan Sarana Prasarana Pemerintahan Desa </t>
  </si>
  <si>
    <t>Terwujudnya gedung/prasarana Kantor yang memadahi</t>
  </si>
  <si>
    <t>Belanja Bahan Material</t>
  </si>
  <si>
    <t>- Bahan Material</t>
  </si>
  <si>
    <t>Belanja Pemelihara</t>
  </si>
  <si>
    <t>Belanja Pemeliharaan Lainnya</t>
  </si>
  <si>
    <t>- Upah Tenaga</t>
  </si>
  <si>
    <t xml:space="preserve">Hok </t>
  </si>
  <si>
    <t>Pengadaan Peralatan Kantor</t>
  </si>
  <si>
    <t>Meningkatkan Pelayanan Kepada Masyarakat</t>
  </si>
  <si>
    <t>Belanja Modal Pengadaan Peralatan Mesin dan Alat Berat</t>
  </si>
  <si>
    <t>Belanja Modal Mesin</t>
  </si>
  <si>
    <t>- Mesin Absen Finger</t>
  </si>
  <si>
    <t>Unit</t>
  </si>
  <si>
    <t>- Mesin Pencacah Kertas</t>
  </si>
  <si>
    <t>91</t>
  </si>
  <si>
    <t>Pengadaan mebel</t>
  </si>
  <si>
    <t>terwujudnya meubelair</t>
  </si>
  <si>
    <t>Belanja Alat Tulis Kantor dan Benda pos</t>
  </si>
  <si>
    <t>- Belanja Materai</t>
  </si>
  <si>
    <t xml:space="preserve">Bh </t>
  </si>
  <si>
    <t>Belanja modal pembayaran Honor Tim pelaksana Kegiatan ( PM )</t>
  </si>
  <si>
    <t>- Ketua</t>
  </si>
  <si>
    <t>- Sekretaris</t>
  </si>
  <si>
    <t>- Anggota</t>
  </si>
  <si>
    <t>Belaja Modal Peralatan Mebelair dan Aksesoris Ruangan</t>
  </si>
  <si>
    <t>- Kursi Rapat</t>
  </si>
  <si>
    <t>- Meja Katalog</t>
  </si>
  <si>
    <t xml:space="preserve">Paket </t>
  </si>
  <si>
    <t>Belanja Modal pengadaan peralatan, Mesin dan Alat Berat</t>
  </si>
  <si>
    <t>Belanja Modal peralatan dan aksesoris Ruangan</t>
  </si>
  <si>
    <t>- Belanja Kursi untuk Rapat</t>
  </si>
  <si>
    <t>- Belanja Meja ruang rapat</t>
  </si>
  <si>
    <t>94</t>
  </si>
  <si>
    <t>Operasional bagi Kendaraan Dinas</t>
  </si>
  <si>
    <t>- Perpanjanngan Pajak 3 Kendaraan Dinas</t>
  </si>
  <si>
    <t>unit</t>
  </si>
  <si>
    <t>- Belanja Pemeliharaan 3 Kendaraan Dinas</t>
  </si>
  <si>
    <t>95</t>
  </si>
  <si>
    <t xml:space="preserve">Penyediaan jasa perbaikan/servis peralatan kerja </t>
  </si>
  <si>
    <t>Kenyamanan dalam Bekerja</t>
  </si>
  <si>
    <t>6</t>
  </si>
  <si>
    <t>- Pemeliharaan Komputer dan Laptop</t>
  </si>
  <si>
    <t>- Belanja Suku Cadang dan Toner</t>
  </si>
  <si>
    <t>Pendataan Profil Desa</t>
  </si>
  <si>
    <t>Data Penduduk yang Valid</t>
  </si>
  <si>
    <t>Belanja barang jasa</t>
  </si>
  <si>
    <t>- ATK Kegiatan Pemutakhiran Profil Desa ( Prodeskel )</t>
  </si>
  <si>
    <t>- ATK Kegiatan Pemutakhiran Profil Desa ( SINKAL )</t>
  </si>
  <si>
    <t>- ATK Kegiatan Pendataan Indeks Desa</t>
  </si>
  <si>
    <t>- Cetak dan Penggandaan Dokumen Kegiatan Pemutakhiran Profil Desa ( Prodeskel )</t>
  </si>
  <si>
    <t>Eksmplr</t>
  </si>
  <si>
    <t>- Cetak dan Penggandaan Kegiatan Pemutakhiran Profil Desa ( Prodeskel )</t>
  </si>
  <si>
    <t>- Cetak dan Penggandaan Kegiatan Pemutakhiran Profil Desa ( SINKAL )</t>
  </si>
  <si>
    <t>- Penggandaan Materi Sosialisasi Kegiatan Pendataan Indeks Desa</t>
  </si>
  <si>
    <t>- Penggandaan Materi Kegiatan Pendataan Indeks Desa</t>
  </si>
  <si>
    <t>- Cetak Banner Kegiatan Pendataan Indeks Desa</t>
  </si>
  <si>
    <t>m2</t>
  </si>
  <si>
    <t>- Makan Minum Snack  Kegiatan Pemutakhiran Profil Desa ( Prodeskel )</t>
  </si>
  <si>
    <t>- Minum Snack  Kegiatan Pemutakhiran Profil Desa ( Prodeskel )</t>
  </si>
  <si>
    <t>- Makan Minum Snack Kegiatan Pemutakhiran Profil Desa ( SINKAL )</t>
  </si>
  <si>
    <t>- Minum Snack Kegiatan Pemutakhiran Profil Desa ( SINKAL )</t>
  </si>
  <si>
    <t>- Minum snack sosialisasi Kegiatan pendataan indeks desa</t>
  </si>
  <si>
    <t>- Makan minum snack verifikasidata kegiatan pendataan indeks desa</t>
  </si>
  <si>
    <t>- Minum snack musyawarah kalurahan kegiatan pendataan indeks deesa</t>
  </si>
  <si>
    <t>jpl</t>
  </si>
  <si>
    <t>- Honor entri dan Pencacah data</t>
  </si>
  <si>
    <t>exp</t>
  </si>
  <si>
    <t>- Honor Olah Data</t>
  </si>
  <si>
    <t xml:space="preserve">Belanja Jasa Honorarium Petugas </t>
  </si>
  <si>
    <t>- Honor Admin SINKAL</t>
  </si>
  <si>
    <t>- Honor petugas entry data kegiatan pendataan indeks desa</t>
  </si>
  <si>
    <t>Belanja perjalanan dinas</t>
  </si>
  <si>
    <t>Belanja perjalanan dinas dalam kabupaten/ Kota</t>
  </si>
  <si>
    <t>- Uang Transport</t>
  </si>
  <si>
    <t>oh</t>
  </si>
  <si>
    <t>Belanja Kursus pelatihan</t>
  </si>
  <si>
    <t>- Transport verifikasi data kegiatan pendataan indeks desa</t>
  </si>
  <si>
    <t>- Transport muskal kegiatan pendataan indeks desa</t>
  </si>
  <si>
    <t>Penyusunan Monografi Desa</t>
  </si>
  <si>
    <t>Terwujudnya data tentang keadaan Desa</t>
  </si>
  <si>
    <t xml:space="preserve">- ATK </t>
  </si>
  <si>
    <t xml:space="preserve">- Cetak dan Penggandaan </t>
  </si>
  <si>
    <t>Belanja Barang Konsumsi ( Makan/Minum )</t>
  </si>
  <si>
    <t>- Minum Snack</t>
  </si>
  <si>
    <t>Penyelenggaraan Musyawaran Perencanaan Desa/Pembahasan APBDes (Reguler)</t>
  </si>
  <si>
    <t>Dokumen Perencanaan Desa</t>
  </si>
  <si>
    <t>- ATK</t>
  </si>
  <si>
    <t>- Makan Minum snack Muskal</t>
  </si>
  <si>
    <t>- Makan Minum snack Musrenbangkal</t>
  </si>
  <si>
    <t>Belanja Barang Perlengkapan Laainnya</t>
  </si>
  <si>
    <t>- Belanja Banner</t>
  </si>
  <si>
    <t>Terselenggaranya Musyawarah Dusun dan Rembug Desa</t>
  </si>
  <si>
    <t>m3</t>
  </si>
  <si>
    <t>- ATK Penyusunan Dokumen RKP Desa 2026</t>
  </si>
  <si>
    <t xml:space="preserve">- ATK Penyusunan Dokumen Review RPJM Desa </t>
  </si>
  <si>
    <t>- Cetak dan Penggandaan Penyusunan Dokumen RKP Desa 2026</t>
  </si>
  <si>
    <t xml:space="preserve">- Cetak dan Penggandaan Penyusunan Dokumen Review RPJM Desa </t>
  </si>
  <si>
    <t>- Minum Snack Koordinasi Tim Penyusunan Dokumen RKP Desa 2026</t>
  </si>
  <si>
    <t>- Makan Minum Snack Penetapan RKP Desa 2026</t>
  </si>
  <si>
    <t xml:space="preserve">- Minum Snack Penyusunan Dokumen Review RPJM Desa </t>
  </si>
  <si>
    <t xml:space="preserve">- Makan Minum Snack Penyusunan Dokumen Review RPJM Desa </t>
  </si>
  <si>
    <t>Belanja Jasa Honorarium Tim Pelaksana Kegiatan</t>
  </si>
  <si>
    <t>Penyusunan Dokumen Keuangan Desa (APBDes, APBDes Perubahan, LPJ dll)</t>
  </si>
  <si>
    <t>Dokumen Keuangan Desa</t>
  </si>
  <si>
    <t>- ATK Penyusunan LPJ</t>
  </si>
  <si>
    <t>- ATK Perubahan Perubahan I APBKal 2025</t>
  </si>
  <si>
    <t>- ATK Penyusunan APBKal 2026</t>
  </si>
  <si>
    <t>- ATK Penyusunan Perubahan APBKal 2025</t>
  </si>
  <si>
    <t>- Cetak dan Penggandaan Penyusunan LPJ</t>
  </si>
  <si>
    <t>- Cetak dan Penggandaan Perubahan Perubahan I APBKal 2025</t>
  </si>
  <si>
    <t>- Cetak dan Penggandaan Penyusunan APBKal 2026</t>
  </si>
  <si>
    <t>- Cetak dan Penggandaan Penyusunan APBKal Perubahan II</t>
  </si>
  <si>
    <t>- Minum Snack Penyusunan LPJ</t>
  </si>
  <si>
    <t>Or</t>
  </si>
  <si>
    <t>- Makan Minum Snack penetapoan LPJ</t>
  </si>
  <si>
    <t>- Minum Snack Perubahan Perubahan I APBKal 2025</t>
  </si>
  <si>
    <t>- Makan Minum Snack penetapoan Perubahan Perubahan I APBKal 2025</t>
  </si>
  <si>
    <t>- Minum Snack  Penyusunan APBKal 2026</t>
  </si>
  <si>
    <t>- Makan Minum Snack penetapoan  Penyusunan APBKal 2026</t>
  </si>
  <si>
    <t>- Minum Snack Penyusunan APBKal Perubahan II</t>
  </si>
  <si>
    <t>- Makan Minum Snack penetapoan Penyusunan APBKal Perubahan II</t>
  </si>
  <si>
    <t xml:space="preserve">Pengelolaan Administrasi/ Inventarisasi/Penilaian Aset Desa </t>
  </si>
  <si>
    <t>Inventarisasi aset Desa</t>
  </si>
  <si>
    <t>Belanja barang perlengkapan</t>
  </si>
  <si>
    <t>- ATK Keg. Pengelolaan Administrasi/Penilaian aset Desa</t>
  </si>
  <si>
    <t>- ATK Keg. Inventarisasi Aset Desa</t>
  </si>
  <si>
    <t>Belanja Barang Konsumsi ( Makan/minum)</t>
  </si>
  <si>
    <t>- Makan Minum snack rakor</t>
  </si>
  <si>
    <t>OS</t>
  </si>
  <si>
    <t>- Minum Snack Pendandatanganan MOU</t>
  </si>
  <si>
    <t>Belanja Jasa Honorarium petugas</t>
  </si>
  <si>
    <t>- Pemegang Kekuasaan Pengelolaan Aset</t>
  </si>
  <si>
    <t>- Pembantu Pengelola Aset</t>
  </si>
  <si>
    <t>- Pengurus Aset</t>
  </si>
  <si>
    <t>Belanja jasa Honorarium Tim Pelaksana Kegiatan</t>
  </si>
  <si>
    <t>Penyusunan Kebijakan Desa ( perdes/perkades selain perencanaan/Keuangan )</t>
  </si>
  <si>
    <t>Peraturan Tentang Kebijakan Desa</t>
  </si>
  <si>
    <t xml:space="preserve">- Makan minum dan snack Koordinasi </t>
  </si>
  <si>
    <t>- Makan minum dan snack Sosialisasi</t>
  </si>
  <si>
    <t>Belanja Banner</t>
  </si>
  <si>
    <t>m</t>
  </si>
  <si>
    <t>Penyusunan Laporan Kepala Desa, LPPDesa dan Informasi Kepada Masyarakat</t>
  </si>
  <si>
    <t>Terselenggaranya Laporan Kepala Desa</t>
  </si>
  <si>
    <t>Belanja jasa Honorarium</t>
  </si>
  <si>
    <t>Belanja jasa honorarium tim pelaksanan Kegiatan</t>
  </si>
  <si>
    <t>Transparansi informasi Tentang Desa</t>
  </si>
  <si>
    <t>- Cetak dan Penggandaan Kegiatan Pengelolaan SID</t>
  </si>
  <si>
    <t>- Cetak dan Penggandaan Kegiatan Operasional KIM</t>
  </si>
  <si>
    <t>- Minum snack Rakor SID</t>
  </si>
  <si>
    <t>- Makan Minum Snack Pelatihan Jurnalis Kegiatan Operasional KIM</t>
  </si>
  <si>
    <t>- Minum Snack Rakor Kegiatan Operasional KIM</t>
  </si>
  <si>
    <t>Belanja Jasa Honorarium pembantu tugas umum desa/ operator</t>
  </si>
  <si>
    <t>- Admin</t>
  </si>
  <si>
    <t>- Operator</t>
  </si>
  <si>
    <t>- Jurnalis</t>
  </si>
  <si>
    <t xml:space="preserve">- Narasumber Bimtek KIM </t>
  </si>
  <si>
    <t>Jpl</t>
  </si>
  <si>
    <t>Belanjamodal peralatan, mesin dan alat berat lainnya</t>
  </si>
  <si>
    <t>- Belanja Peralatan Sarana Prasarana SID</t>
  </si>
  <si>
    <t>- Transport Peserta Pelatihan</t>
  </si>
  <si>
    <t>Administrasi Pajak Bumi dan Bangunan (PBB)</t>
  </si>
  <si>
    <t>Tertib pajak Bumi dan Banguunan</t>
  </si>
  <si>
    <t>- PBB Tanah Kas Desa</t>
  </si>
  <si>
    <t>Penyelenggaran PAUD/TK/TPA/TKA/TPQ/Madrasah NonFormal Milik Desa (Honor, Pakaian dll)</t>
  </si>
  <si>
    <t>Meningkatnya SDM Anak Usia Dini</t>
  </si>
  <si>
    <t>- Operasional PAUD Tunas Mandiri III Jetis</t>
  </si>
  <si>
    <t>- Operasional PAUD Bina Insani I Temanggung</t>
  </si>
  <si>
    <t>- Operasional PAUD Tunas Mandiri I Cekel</t>
  </si>
  <si>
    <t>- Operasional PAUD Tunas Mandiri IV Dondong</t>
  </si>
  <si>
    <t>- Operasional PAUD Tunas Mandiri II  Mojosari</t>
  </si>
  <si>
    <t>- Operasional PAUD Bina Insani II Karang</t>
  </si>
  <si>
    <t>- Operasional/ Buku Untuk Lembaga TPA</t>
  </si>
  <si>
    <r>
      <t>Belanja Jasa Honorarium Lainnya</t>
    </r>
    <r>
      <rPr>
        <b/>
        <sz val="8"/>
        <rFont val="Arial"/>
        <family val="2"/>
      </rPr>
      <t/>
    </r>
  </si>
  <si>
    <t>- Honorarium Tenaga Pendidik PAUD Non APBD</t>
  </si>
  <si>
    <t>- Honorarium Guru TPA</t>
  </si>
  <si>
    <t>- Insentif Honor Tendik PAUD 2 Orang Juli - Desember</t>
  </si>
  <si>
    <t>Pembangunan/Rehabilitasi/Peningkatan Saran/ Prasarana Perpustakaan/ Taman Bacaan Desa/ Sanggar Belajar</t>
  </si>
  <si>
    <t>Pembangunan Gedung Perpustakaan</t>
  </si>
  <si>
    <t xml:space="preserve">Belanja Modal Gedung, Bangunan, Taman </t>
  </si>
  <si>
    <t>Belanja Modal Jalan/ Prasarana Jalan</t>
  </si>
  <si>
    <t>Belanja Modal jalan - Bahan Baku/Material</t>
  </si>
  <si>
    <t>Belanja Modal jalan - Administrasi Kegiatan</t>
  </si>
  <si>
    <t>- Belanja ATK dan Benda Pos</t>
  </si>
  <si>
    <t>- Fotocopy, Cetak dan Penggandaan</t>
  </si>
  <si>
    <t>-Konsumsi Rakor</t>
  </si>
  <si>
    <t>- Belanja Prasasti</t>
  </si>
  <si>
    <t>Pengelolaan perpustakaan Milik Desa ( Pengadaan buku, honor, taman baca )</t>
  </si>
  <si>
    <t>Meningkatkan aneka ragam bacaan dan honor petugas</t>
  </si>
  <si>
    <t>Belanja Alat tulis kantor dan benda pos</t>
  </si>
  <si>
    <t>Belanja barang cetak dan penggandaan</t>
  </si>
  <si>
    <t>- Belanja Fotocopy, Cetak dan Penggandaan</t>
  </si>
  <si>
    <t>- Belanja Cetak Buku Sejarah Desa</t>
  </si>
  <si>
    <t>Eks</t>
  </si>
  <si>
    <t>- Belanja Cetak Banner</t>
  </si>
  <si>
    <t>Belanja barang konsumsi ( makan/minum)</t>
  </si>
  <si>
    <t>- Belanja makan minum dan snack persiapan lomba</t>
  </si>
  <si>
    <t>- Belanja Makan minum snack Visitasi Lomba Perpus</t>
  </si>
  <si>
    <t>elanja Papan Nama Perpustakaan</t>
  </si>
  <si>
    <t>Belanja jasa honorarium petugas</t>
  </si>
  <si>
    <t>Pembangunan/ Rehabilitasi Gedung PAUD/TK Milik Desa</t>
  </si>
  <si>
    <t>Meningkatnya aktifitas pembelajaran siswa</t>
  </si>
  <si>
    <t>Belanja Jasa Honoaraium</t>
  </si>
  <si>
    <t>Belanja Pemeliharaan Bangunan</t>
  </si>
  <si>
    <t xml:space="preserve">- Belanja Material Kegiatan Rehab Gedung PAUD Tunas Mandiri I Cekel </t>
  </si>
  <si>
    <t xml:space="preserve">- Belanja Material Kegiatan Rehab Gedung PAUD Tunas Mandiri II Mojosari </t>
  </si>
  <si>
    <t xml:space="preserve">- Upah Tukang Kegiatan Rehab Gedung PAUD Tunas Mandiri I Cekel </t>
  </si>
  <si>
    <t xml:space="preserve">- Upah Pekerja Kegiatan Rehab Gedung PAUD Tunas Mandiri I Cekel </t>
  </si>
  <si>
    <t xml:space="preserve">- Upah Tukang  Kegiatan Rehab Gedung PAUD Tunas Mandiri II Mojosari </t>
  </si>
  <si>
    <t xml:space="preserve">- Upah Pekerja Kegiatan Rehab Gedung PAUD Tunas Mandiri II Mojosari </t>
  </si>
  <si>
    <t>Meningkatnya Gizi untuk ibu hamil dan lansia</t>
  </si>
  <si>
    <t>- Belanja Insentif Kader Posyandu</t>
  </si>
  <si>
    <t>7</t>
  </si>
  <si>
    <t xml:space="preserve">Belanja Barang dan Jasa yang Diserahkan kepada Masyarakat </t>
  </si>
  <si>
    <t>- PMT Lansia</t>
  </si>
  <si>
    <t>- PMT Ibu Hamil</t>
  </si>
  <si>
    <t>- Bansos Sembako</t>
  </si>
  <si>
    <t>Penyuluhan dan pelatihan bidang kesehatan ( untuk Masy, tenaga dan kader kesehatan dll )</t>
  </si>
  <si>
    <t>Meningkatnya kesadaran masyarakat hidup sehat</t>
  </si>
  <si>
    <t>Belanja barang dan jasa</t>
  </si>
  <si>
    <t>Belanja alat tulis kantor dan benda pos</t>
  </si>
  <si>
    <t>- ATK Keg Pelatihan Bidang Kesehatan Untuk Kader</t>
  </si>
  <si>
    <t>- ATK Kegiatan Penyuluhan Gizi</t>
  </si>
  <si>
    <t>- Cetak dan penggandaan Kegiatan Pelatihan Bidang Kesehatan Untuk Kader</t>
  </si>
  <si>
    <t>- Cetak dan penggandaan Kegiatan Penyuluhan Gizi</t>
  </si>
  <si>
    <t>- Belanja Makan Minum Snack Kegiatan Pelatihan Bidang Kesehatan Untuk Kader</t>
  </si>
  <si>
    <t>- Belanja Makan Minum Snack Kegiatan Penyuluhan Gizi</t>
  </si>
  <si>
    <t>- Belanja Banner  Kegiatan Pelatihan Bidang Kesehatan Untuk Kader</t>
  </si>
  <si>
    <t>- Belanja Banner Kegiatan Penyuluhan Gizi</t>
  </si>
  <si>
    <t>Belanja jasa honoraium tenaga ahli/profesional/konsultasn/Narasumber</t>
  </si>
  <si>
    <t>- Belanja Honorarium Narasumber  Kegiatan Pelatihan Bidang Kesehatan Untuk Kader</t>
  </si>
  <si>
    <t>- Belanja Honor Narasumber Keg. Penyuluhan Gizi</t>
  </si>
  <si>
    <t>- Belanja Transport Peserta Pelatihan  Kegiatan Pelatihan Bidang Kesehatan Untuk Kader</t>
  </si>
  <si>
    <t>- Belanja Transport Peserta Pelatihan Kegiatan Penyuluhan Gizi</t>
  </si>
  <si>
    <t>optimalisasi penanganan stunting</t>
  </si>
  <si>
    <t>- Cetak dan Penggandaan Desa Siaga</t>
  </si>
  <si>
    <t>- Minum snack koordinasi kader jumantik tingkat Kalurahan</t>
  </si>
  <si>
    <t>- Belanja Transport Kader Jumantik</t>
  </si>
  <si>
    <t>Meningkatnya kesadaran masyarakat ttg kesehatan</t>
  </si>
  <si>
    <t>Belanja Perlengkapan Lainnya</t>
  </si>
  <si>
    <t xml:space="preserve">Belanja Jasa Honorarium Tenaga Ahli/Profesi/Konsultan/Narasumber </t>
  </si>
  <si>
    <t>Pemberian makanan tambahan untuk balita/siswa  PAUD</t>
  </si>
  <si>
    <t>Meningkatnya gizi balita</t>
  </si>
  <si>
    <t>- Belanja PMT Balita</t>
  </si>
  <si>
    <t>- Belanja PMT Penanganan Stunting selama 90 hari</t>
  </si>
  <si>
    <t>98</t>
  </si>
  <si>
    <t>kesejahteraan kader Kb</t>
  </si>
  <si>
    <t>- Insentif Koordinator KB</t>
  </si>
  <si>
    <t>- Insentif Kader KB</t>
  </si>
  <si>
    <t>Pembangunan/Rehabilitasi/peningkatan/Pengerasan Jalan Usaha Tani</t>
  </si>
  <si>
    <t>Meningkatnya jalan menuju lahan pertanian</t>
  </si>
  <si>
    <t>Belanja Modal jalan - Honor Tim Pelaksana Kegiatan</t>
  </si>
  <si>
    <t>Belanja Modal jalan - upah tenaga Kerja</t>
  </si>
  <si>
    <t>- Pekerja Cor rabat JUT Padukuhan Karang</t>
  </si>
  <si>
    <t>hok</t>
  </si>
  <si>
    <t>- Tukang Cor rabat JUT Padukuhan Karang</t>
  </si>
  <si>
    <t>- Pekerja Cor rabat Pengeprusan JUT Padukuhan Cekel</t>
  </si>
  <si>
    <t>- Tukang Cor rabat Pengeprusan JUT Padukuhan Cekel</t>
  </si>
  <si>
    <t>Belanja Modal jalan - Bahan baku/ Material</t>
  </si>
  <si>
    <t>- Belanja Material JUT Padukuhan Karang</t>
  </si>
  <si>
    <t>- Belanja Material Pengeprusan JUT Padukuhan Cekel</t>
  </si>
  <si>
    <t>Belanja Modal jalan - Sewa Peralatan</t>
  </si>
  <si>
    <t>- Sewa Molen</t>
  </si>
  <si>
    <t>- Mobilitas Molen</t>
  </si>
  <si>
    <t>- ATK dan Materai</t>
  </si>
  <si>
    <t>Pembangunan/Rehabilitasi/Peningkatan Prasarana Jalan Desa (Gorong, selokan, dll)</t>
  </si>
  <si>
    <t>Perbaikan sarana penunjang jalan Desa</t>
  </si>
  <si>
    <t>Belanja Modal jalan/Prasarana jalan</t>
  </si>
  <si>
    <t>Belanja Modal Jalan - Honor Tim Pelaksana Kegiatan</t>
  </si>
  <si>
    <t>- Honor TPK Kegiatan Pemb. Talud Cekel RT 10</t>
  </si>
  <si>
    <t>- Honor TPK Kegiatan Pemb. Talud Jetis RT 04</t>
  </si>
  <si>
    <t>Belanja Modal Jalan - Upah Tenaga Kerja</t>
  </si>
  <si>
    <t>- Pekerja Pemb. Talud Cekel RT 10</t>
  </si>
  <si>
    <t>- Tukang Pemb. Talud Cekel RT 10</t>
  </si>
  <si>
    <t>- Pekerja Kegiatan Pemb. Talud Jetis RT 04</t>
  </si>
  <si>
    <t>- Tukang Kegiatan Pemb. Talud Jetis RT 04</t>
  </si>
  <si>
    <t>- Pekerja Kegiatan Pemb. Gorong-gorong RT 07</t>
  </si>
  <si>
    <t>- Tukang Kegiatan Pemb. Gorong-gorong RT 07</t>
  </si>
  <si>
    <t>- Pekerja Kegiatan Pemb. Drainase Cekel RT 07</t>
  </si>
  <si>
    <t>- Tukang Kegiatan Pemb. Drainase Cekel RT 07</t>
  </si>
  <si>
    <t>Belanja Modal Jalan- Bahan baku/Material</t>
  </si>
  <si>
    <t>- Belanja Material  Pemb. Talud Cekel RT 10</t>
  </si>
  <si>
    <t>- Belanja Material Pemb. Talud Jetis RT 04</t>
  </si>
  <si>
    <t>- Belanja Material Pemb. Gorong-gorong Cekel RT 07</t>
  </si>
  <si>
    <t>- Belanja Material Pemb. Drainase Cekel RT 07</t>
  </si>
  <si>
    <t>- Sewa Molen Pemb. Talud Cekel RT 10</t>
  </si>
  <si>
    <t>Hari</t>
  </si>
  <si>
    <t>- Mobilitas Molen Pemb. Talud Cekel RT 10</t>
  </si>
  <si>
    <t>- Sewa Molen Pemb. Drainase Cekel RT 07</t>
  </si>
  <si>
    <t>- Mobilitas Molen Pemb. Drainase Cekel RT 07</t>
  </si>
  <si>
    <t>Belanja Modal jalan- Administrasi Kegiatan</t>
  </si>
  <si>
    <t>- ATK  Pemb. Talud Cekel RT 10</t>
  </si>
  <si>
    <t>- ATK Pemb. Talud Jetis RT 04</t>
  </si>
  <si>
    <t>- Cetak Penggandaan  Pemb. Talud Cekel RT 10</t>
  </si>
  <si>
    <t>- Cetak Penggandaan Pemb. Talud Jetis RT 04</t>
  </si>
  <si>
    <t>- Minum snack Sosialisasi  Pemb. Talud Cekel RT 10</t>
  </si>
  <si>
    <t>- Minum snack rakor TPK Pemb. Talud Jetis RT 04</t>
  </si>
  <si>
    <t>Belanja Modal Gedung, Bangunan, Taman</t>
  </si>
  <si>
    <t>Belanja  Modal Gedung, Bangunan, Taman - Honor Tim Pelaksana Kegiatan</t>
  </si>
  <si>
    <t>- Honor TPK Kegiatan Pemb. Talud Jetis 08 ( PKTN )</t>
  </si>
  <si>
    <t>- Upah Pekerja</t>
  </si>
  <si>
    <t>'- Upah Tukang</t>
  </si>
  <si>
    <t>- Kepala Kelompok</t>
  </si>
  <si>
    <t>- BPJS Ketenagakerjaan</t>
  </si>
  <si>
    <t xml:space="preserve">- Belanja Material  </t>
  </si>
  <si>
    <t>- Belanja ATK dan Materai</t>
  </si>
  <si>
    <t xml:space="preserve">- Fotocopy, Cetak dan Penggandaan </t>
  </si>
  <si>
    <t>- Konsumsi Sosialisasi</t>
  </si>
  <si>
    <t>- Prasasti</t>
  </si>
  <si>
    <t>- Papoan nama Kegiatan</t>
  </si>
  <si>
    <t>Pembangunan/Rehabilitasi/peningkatan Balai Desa/ Bali Kemasyarakatan</t>
  </si>
  <si>
    <t>Meningkatnya fasilitas sarpras masyarakat/ balai</t>
  </si>
  <si>
    <t>Belanja Modal Gedung, Bangunan, Taman - Honor Tim Pelaksana Kegiatan</t>
  </si>
  <si>
    <t>Belanja Modal Gedung, Bangunan, Taman - upah tenaga Kerja</t>
  </si>
  <si>
    <t>- Belanja Upah Pekerja</t>
  </si>
  <si>
    <t>- Belanja Upah Tukang</t>
  </si>
  <si>
    <t>Belanja Modal Gedung, Bangunan, Taman  - Bahan baku/ Material</t>
  </si>
  <si>
    <t>- Belanja Material</t>
  </si>
  <si>
    <t>-  Belanja ATK</t>
  </si>
  <si>
    <t>-Belanja Minum Snack</t>
  </si>
  <si>
    <t>OR</t>
  </si>
  <si>
    <t>Pemberian Stimulan Jamban Sehat</t>
  </si>
  <si>
    <t>Terwujudnya sanitasi dan kesehatan masyarakat</t>
  </si>
  <si>
    <t>Belanja Alat Tulis dan Benda Pos</t>
  </si>
  <si>
    <t>Belanja Barang Konsumsi ( Makan/minum )</t>
  </si>
  <si>
    <t>- Belanja bahan material Jamban</t>
  </si>
  <si>
    <t>Penyelenggaraan Informasi Publik Desa (Poster, Baliho Dll)</t>
  </si>
  <si>
    <t>Transparansi penyelenggaraan pemerintah Kalurahan</t>
  </si>
  <si>
    <t>- Cetak Banner Kalurahan</t>
  </si>
  <si>
    <t>- Cetak Banner Padukuhan</t>
  </si>
  <si>
    <t>Pembangunan/Rehabilitasi Rest Area Milik Desa</t>
  </si>
  <si>
    <t>Pembangunan wisata buatan</t>
  </si>
  <si>
    <t>Belanja Modal gedung, Bangunan, Taman - Upah tenaga Kerja</t>
  </si>
  <si>
    <t>- Upah Pekerja dan Tukang</t>
  </si>
  <si>
    <t>Belanja modal gedung, bangunan, taman - Bahan Baku/Material</t>
  </si>
  <si>
    <t>- Belanja Bahan Material</t>
  </si>
  <si>
    <t>Belanja modal gedung, bangunan, taman - Administrasi Kegiatan</t>
  </si>
  <si>
    <t>- Administrasi Kegiatan</t>
  </si>
  <si>
    <t>BIDANG PEMBINAAN KEMASYARAKATAN</t>
  </si>
  <si>
    <t>Sub Bidang Ketentraman, Ketertiban Umum dan Perlindungan Masyarakat</t>
  </si>
  <si>
    <t>Koordinasi Pembinaan Keamanan, Ketertiban dan Perlindungan Masy. Skala Lokal Desa</t>
  </si>
  <si>
    <t>meningkatnya keamanan dan ketertiban desa</t>
  </si>
  <si>
    <t>Belanja Barang Per;lengkapan Lainnya</t>
  </si>
  <si>
    <t>Belanja Perjalanan Dinas Dalam Kabupaten/ Kota</t>
  </si>
  <si>
    <t>- Uang Transport Linmas</t>
  </si>
  <si>
    <t>Pembinaan Kelembagaan Desa Tangguh Bencana</t>
  </si>
  <si>
    <t>kesiap siagaan bagi relawan tangguh bencana</t>
  </si>
  <si>
    <t>Belanja jasa honorarium tenaga ahli/ profesi/Narasumber</t>
  </si>
  <si>
    <t>- Uang Transport Peserta</t>
  </si>
  <si>
    <t>meningkatnya keamnaan lingkungan</t>
  </si>
  <si>
    <t>Pembinaan dan Pengembangan Desa Budaya</t>
  </si>
  <si>
    <t>pelestari budaya</t>
  </si>
  <si>
    <t>- Belanja Bahan Praktek</t>
  </si>
  <si>
    <t xml:space="preserve">Operasional Karang Taruna </t>
  </si>
  <si>
    <t>Kegiatan kepemudaan Meningkat</t>
  </si>
  <si>
    <t>meningkatnya kader pembangunan desa</t>
  </si>
  <si>
    <t>Belanja Alat tulis Kantor dan Benda Pos</t>
  </si>
  <si>
    <t>Belanja Barang perlengkapan lainnya</t>
  </si>
  <si>
    <t>- Belanja Paket Data</t>
  </si>
  <si>
    <t>Kali</t>
  </si>
  <si>
    <t>kali</t>
  </si>
  <si>
    <t>- Belanja Insentif KPM</t>
  </si>
  <si>
    <t>92</t>
  </si>
  <si>
    <t>Optimalisasi peran Tim Koordinasi Penanggulangan Kemiskinan Desa (TKPK Desa)</t>
  </si>
  <si>
    <t>Akurasi data kemiskinan</t>
  </si>
  <si>
    <t>- Minum Snack Rapat di Padukuhan- Padukuhan</t>
  </si>
  <si>
    <t>- Minum Snack Rakor</t>
  </si>
  <si>
    <t>- Minum Snack Pembentukan TIM 2025</t>
  </si>
  <si>
    <t>- Makan Minum Snack Peningkatan Kapasitas TKPK Desa</t>
  </si>
  <si>
    <t>- Makan Minum Snack Muskal DTKS</t>
  </si>
  <si>
    <t>- Honor Tim Pelaksana Kegiatan</t>
  </si>
  <si>
    <t>Belanja Bahan Obat-Obatan</t>
  </si>
  <si>
    <t>- PPPK/ Obat-obatan</t>
  </si>
  <si>
    <t>Set</t>
  </si>
  <si>
    <t>- Cetak Banner</t>
  </si>
  <si>
    <t>set</t>
  </si>
  <si>
    <t>- Belanja Cinderamata</t>
  </si>
  <si>
    <t>Os</t>
  </si>
  <si>
    <t>- Sekreatris</t>
  </si>
  <si>
    <t>Belanja jasa Honorarium Tenaga Ahli/ Profesi/ Narasumber</t>
  </si>
  <si>
    <t>- Narasumber</t>
  </si>
  <si>
    <t>Belanja Jasa Sewa Peralatan/ Perlengkapan</t>
  </si>
  <si>
    <t>- Belanja Paket Kunjungan</t>
  </si>
  <si>
    <t>- Sewa Big Bus All in</t>
  </si>
  <si>
    <t>Optimalisasi Kelembagaan Desa</t>
  </si>
  <si>
    <t>- Minum snack rapat koordinasi LPMKal</t>
  </si>
  <si>
    <t>- Makan minum snack Koordinasi</t>
  </si>
  <si>
    <t>96</t>
  </si>
  <si>
    <t>Optimalisasi peran PKK dalam membangun</t>
  </si>
  <si>
    <t>BIDANG PEMBERDAYAAN MASYARAKAT</t>
  </si>
  <si>
    <t>Sub Bidang Peningkatan Kapasitas Perangkat Desa</t>
  </si>
  <si>
    <t>Peningkatan Kapsitas Perangkat Desa</t>
  </si>
  <si>
    <t>meningkatnya SDM aparatur pemerintah Desa</t>
  </si>
  <si>
    <t>Belanja Barang perlengkapan</t>
  </si>
  <si>
    <t>- Belanja ATK Kegiatan Pelatihan Tematik I</t>
  </si>
  <si>
    <t>- Belanja ATK Kegiatan Pelatihan Tematik II</t>
  </si>
  <si>
    <t>- Belanja Cetak dan Penggandaan  Kegiatan Pelatihan Tematik I</t>
  </si>
  <si>
    <t>- Belanja Cetak dan Penggandaan  Kegiatan Pelatihan Tematik II</t>
  </si>
  <si>
    <t>Belanja Barang Konsumsi ( Makan/ Minum )</t>
  </si>
  <si>
    <t>- Makan Minum Snack Kegiatan Pelatihan Tematik I</t>
  </si>
  <si>
    <t>- Makan Minum Snmack Kegiatan Pelatihan Tematik II</t>
  </si>
  <si>
    <t>- Banner Kegiatan Pelatihan Tematik I</t>
  </si>
  <si>
    <t>- Banner Kegiatan Pelatihan Tematik II</t>
  </si>
  <si>
    <t>- Bahan Praktek/ ATK Peserta Kegiatan Pelatihan Tematik I</t>
  </si>
  <si>
    <t>Paket</t>
  </si>
  <si>
    <t>- Dokumentasi Kegiatan</t>
  </si>
  <si>
    <t>- Narasumber Kegiatan Pelatihan Tematik I</t>
  </si>
  <si>
    <t>- Narasumber Kegiatan Pelatihan Tematik II</t>
  </si>
  <si>
    <t xml:space="preserve">Belanja Jasa Uang saku Pelatihan/ seminar/ Bimbingan </t>
  </si>
  <si>
    <t>- Uang saku peserta Kegiatan Pelatihan Tematik I</t>
  </si>
  <si>
    <t>- Uang saku peserta Kegiatan Pelatihan Tematik II</t>
  </si>
  <si>
    <t xml:space="preserve">Belanja jasa Sewa </t>
  </si>
  <si>
    <t>Belanja jasa sewa Bangunan/ Gedung/ Ruang</t>
  </si>
  <si>
    <t>- Sewa Gedung/ Ruangan Kegiatan Pelatihan Tematik I</t>
  </si>
  <si>
    <t>- Sewa Gedung/ Ruangan Kegiatan Pelatihan Tematik II</t>
  </si>
  <si>
    <t>Meningkatnya SDM Anak</t>
  </si>
  <si>
    <t>- Makan Minum Pembentukan panitia</t>
  </si>
  <si>
    <t xml:space="preserve">- Minum Snack Rakor </t>
  </si>
  <si>
    <t>- Makan minum snack Pelaksanaan</t>
  </si>
  <si>
    <t>- Honor Juri Lomba</t>
  </si>
  <si>
    <t>Belanja jasa sewaperalatan/ Perlengkapan</t>
  </si>
  <si>
    <t>- Sewa Sound Sistem</t>
  </si>
  <si>
    <t>Belanja barang dan jasa untuk diserahkan kepada masyarakat</t>
  </si>
  <si>
    <t>Belanja barang untuk diserahkan kepada masyarakat lainnya</t>
  </si>
  <si>
    <t>-Hadiah I Lomba Adzan SD</t>
  </si>
  <si>
    <t>-Hadiah II Lomba Adzan SD</t>
  </si>
  <si>
    <t>-Hadiah III Lomba Adzan SD</t>
  </si>
  <si>
    <t>-Hadiah I Lomba Cerdas Cermat</t>
  </si>
  <si>
    <t>-Hadiah II Lomba Cerdas Cermat</t>
  </si>
  <si>
    <t>-Hadiah III Lomba Cerdas Cermat</t>
  </si>
  <si>
    <t>- Belanja Piala</t>
  </si>
  <si>
    <t>-Hadiah I Lomba Adzan SMP</t>
  </si>
  <si>
    <t>-Hadiah II Lomba Adzan SMP</t>
  </si>
  <si>
    <t>-Hadiah III Lomba Adzan SMP</t>
  </si>
  <si>
    <t>-Hadiah I Lomba Da'I Cilik</t>
  </si>
  <si>
    <t>-Hadiah II Lomba Da'I Cilik</t>
  </si>
  <si>
    <t>-Hadiah III Lomba Da'I Cilik</t>
  </si>
  <si>
    <t>-Hadiah I Lomba Sambung ayat SD</t>
  </si>
  <si>
    <t>-Hadiah II Lomba Sambung ayat SD</t>
  </si>
  <si>
    <t>-Hadiah III Lomba Sambung ayat SD</t>
  </si>
  <si>
    <t>-Hadiah I Lomba Sambung ayat SMP</t>
  </si>
  <si>
    <t>-Hadiah II Lomba Sambung ayat SMP</t>
  </si>
  <si>
    <t>-Hadiah III Lomba Sambung ayat SMP</t>
  </si>
  <si>
    <t>Belanja bahan perlengkapan untuk diserahkan kepada masyarakat</t>
  </si>
  <si>
    <t>- Belanja beasiswa miskin/ berprestasi</t>
  </si>
  <si>
    <t>Penyelenggaraan Festival/Pagelaran Seni Budaya Untuk Anak</t>
  </si>
  <si>
    <t>Pelestari budaya Bagi anak-anak</t>
  </si>
  <si>
    <t>- Minum Snack pembentukan panitia</t>
  </si>
  <si>
    <t>- Makan Minum snack rakor panitia</t>
  </si>
  <si>
    <t>- Minum Snack Latihan</t>
  </si>
  <si>
    <t>- Makan Minum snack Pelaksanaan</t>
  </si>
  <si>
    <t>Belanja Barang perlengkapan Lainnya</t>
  </si>
  <si>
    <t>- Banner</t>
  </si>
  <si>
    <t>- Belanja Bahan Replika Seni Pertunjukan</t>
  </si>
  <si>
    <t>- Narasumber/ Pelatih</t>
  </si>
  <si>
    <t>Belanja Jasa Sewa Peralatan/Perlengkapan</t>
  </si>
  <si>
    <t xml:space="preserve">- Sewa Sound sistem, Panggung dan Tenda </t>
  </si>
  <si>
    <t>- Sewa Kostum</t>
  </si>
  <si>
    <t>- Sewa Gamelan</t>
  </si>
  <si>
    <t>Sub Bidang Koperasi, Usaha Micro Kecil dan Menengah ( UMKM )</t>
  </si>
  <si>
    <t>Sub Bidang Penanaman Modal</t>
  </si>
  <si>
    <t>Pelatihan Pengelolaan BUM Desa ( Pelatihan Yang dilaksanakan Oleh Pemdes )</t>
  </si>
  <si>
    <t>Meningkatnya kapasitas pengelola BUMDes</t>
  </si>
  <si>
    <t>Belanja ATK</t>
  </si>
  <si>
    <t>Belanja Cetak dan penggandaan</t>
  </si>
  <si>
    <t>Belanja Barang Konsumsi (Minum/Snack) Rapat/musyawarah</t>
  </si>
  <si>
    <t>Pembentukan/Fasilitas/Pelatihan/Pendampingan Kelompok Usaha Ekonomi Produktif</t>
  </si>
  <si>
    <t>Terwujudnya Peningkatan Perekonomian Masyarakat</t>
  </si>
  <si>
    <t>BIDANG PENANGGULANGAN BENCANA, DARURAT DAN MENDESAK DESA</t>
  </si>
  <si>
    <t xml:space="preserve">Sub Bidang Penanggulangan Bencana </t>
  </si>
  <si>
    <t xml:space="preserve">Kegiatan Penanggulanan Bencana </t>
  </si>
  <si>
    <t>Penanggulangan Bencana</t>
  </si>
  <si>
    <t>Belanja penanggulangan Bencana</t>
  </si>
  <si>
    <t xml:space="preserve">Sub Bidang Keadaan Mendesak Penanganan </t>
  </si>
  <si>
    <t xml:space="preserve">Keadaan Mendesak </t>
  </si>
  <si>
    <t>Bntuan Laangsung Tunai Bagi masyarakat miskin</t>
  </si>
  <si>
    <t>Jetis, …. Januari 2026</t>
  </si>
  <si>
    <t>Penjelasan:</t>
  </si>
  <si>
    <t>Selisih  Anggaran dengan Realisasi Pendapatan Asli Kalurahan sebesar Rp 2.074.000,00 disebabkan oleh :</t>
  </si>
  <si>
    <t>Penganggaran pendapatan Hasil Usaha Kalurahan dari BUMKal sebesar Rp 2.500.000,00 tidak terealisasi</t>
  </si>
  <si>
    <t>Pendapatan sebesar Rp 39.900.000,00</t>
  </si>
  <si>
    <t xml:space="preserve">Hasil Aset Kalurahan dari Retribusi Kios realisasinya kurang Rp 16.636.000,00 dari proyeksi Anggaran </t>
  </si>
  <si>
    <t xml:space="preserve">Lain-lain Pendapatan Asli Kalurahan dari hasil pengelolaan Tanah Kas Kalurahan realisasinya lebih </t>
  </si>
  <si>
    <t>Rp 21.210.000,00 dari proyeksi Anggaran Pendapatan sebesar Rp 7.500.000,00</t>
  </si>
  <si>
    <t>30.</t>
  </si>
  <si>
    <t>Talud Taman Baca</t>
  </si>
  <si>
    <t>Miyako (Koreksi Kesalahan Rekening Belanja di APBKal masuk Belanja Barang dan Jasa)</t>
  </si>
  <si>
    <t>Tidak Ada Merk/ Bahan Kayu (Koreksi Kesalahan Rekening Belanja di APBKal masuk Belanja Barang dan Jasa)</t>
  </si>
  <si>
    <t>Penguin (Koreksi Kesalahan Rekening Belanja di APBKal masuk Belanja Modal Jalan)</t>
  </si>
  <si>
    <t>Shimizu (Koreksi Kesalahan Rekening Belanja di APBKal masuk Belanja Modal Jalan)</t>
  </si>
  <si>
    <t>Panasonic (Koreksi Kesalahan Rekening Belanja di APBKal masuk Belanja Modal Jalan)</t>
  </si>
  <si>
    <t>Bendera Pataka Kabupaten Gunungkidul (Koreksi Kesalahan Rekening Belanja di APBKal masuk Belanja Barang dan Jasa)</t>
  </si>
  <si>
    <t>Kantor Balai Kalurahan, Perbaikan Th 2025 sebesar Rp 102.212.000 dari Dana Desa</t>
  </si>
  <si>
    <t>Gedung Perpustakaan TPBIS Ngudi Kawruh (Koreksi Kesalahan Rekening Belanja di APBKal masuk Belanja Modal Jalan)</t>
  </si>
  <si>
    <t>Selokan Cekel RT 002-003</t>
  </si>
  <si>
    <t>Jalan Usaha Tani Jetis RT 007 (Pindul-Ngasem)</t>
  </si>
  <si>
    <t>Selokan Cekel RT 003</t>
  </si>
  <si>
    <t>Talud  Karang RT 007</t>
  </si>
  <si>
    <t>Tower internet Balai Kalurahan Jetis</t>
  </si>
  <si>
    <t>Jalan Usaha Tani Dondong RT 003 (Selatan Rumah Pak Jaman)</t>
  </si>
  <si>
    <t>Talud  Karang RT 001</t>
  </si>
  <si>
    <t>Jalan Usaha Tani Cekel RT 10 (Kemesu)</t>
  </si>
  <si>
    <t>Selokan Dondong RT 002</t>
  </si>
  <si>
    <t>Wireless Internet Balai Kalurahan Jetis</t>
  </si>
  <si>
    <t>Talud  Temanggung RT 007</t>
  </si>
  <si>
    <t>Selokan Mojosari RT 001</t>
  </si>
  <si>
    <t>Talud  Temanggung RT 002</t>
  </si>
  <si>
    <t>Jalan Usaha Tani Karang (Wuluh-RSUD)</t>
  </si>
  <si>
    <t>Jalan Usaha Tani Jetis (Kios Bunga Wuluh ke Utara)</t>
  </si>
  <si>
    <t>Cor Rabat Beton Jetis RT 004</t>
  </si>
  <si>
    <t>Cor Rabat Beton Jetis RT 008</t>
  </si>
  <si>
    <t>Cor Rabat Beton Jetis RT 007 (Pindul-Ngasem)</t>
  </si>
  <si>
    <t>Tower Internet Balai Padukuhan Temanggung</t>
  </si>
  <si>
    <t>Tower Internet Balai Padukuhan Cekel</t>
  </si>
  <si>
    <t>Selokan Dondong RT 006</t>
  </si>
  <si>
    <t>Jalan Usaha Tani Temanggung RT 007</t>
  </si>
  <si>
    <t>Cor Rabat Beton Karang RT 008</t>
  </si>
  <si>
    <t>Aspal Cekel RT 002-003</t>
  </si>
  <si>
    <t>Aspal Temanggung RT 001-002</t>
  </si>
  <si>
    <t>Jalan Usaha Tani Dondong (Gandu - Karang)</t>
  </si>
  <si>
    <t>Talud Mojosari RT 005</t>
  </si>
  <si>
    <t>Talud Dondong RT 009</t>
  </si>
  <si>
    <t>Talud Cekel RT 010</t>
  </si>
  <si>
    <t>Cor Rabat Beton Cekel RT 011</t>
  </si>
  <si>
    <t>Cor Rabat Beton Jetis RT 003</t>
  </si>
  <si>
    <t>Cor Rabat Beton Jetis RT 007</t>
  </si>
  <si>
    <t>Cor Rabat Beton Karang RT 003</t>
  </si>
  <si>
    <t>Cor Rabat Beton Karang RT 002</t>
  </si>
  <si>
    <t>Talud Cekel RT 011</t>
  </si>
  <si>
    <t>Jalan Usaha Tani Karang RT 007</t>
  </si>
  <si>
    <t>Aspal Cekel RT 008</t>
  </si>
  <si>
    <t>Aspal Cekel RT 005</t>
  </si>
  <si>
    <t>Aspal Temanggung RT 002</t>
  </si>
  <si>
    <t>Aspal Mojosari RT 003</t>
  </si>
  <si>
    <t>Cor Rabat Beton Temanggung RT 001</t>
  </si>
  <si>
    <t>Meteran Listrik 1300 Watt Pusat Oleh-Oleh Bumkal Sempulur</t>
  </si>
  <si>
    <t>Cor Rabat Beton Temanggung RT 007</t>
  </si>
  <si>
    <t>Cor Rabat Beton Karang RT 005</t>
  </si>
  <si>
    <t>Cor Rabat Beton Dondong RT 09-110</t>
  </si>
  <si>
    <t>Cor Rabat Beton Cekel RT 006</t>
  </si>
  <si>
    <t>Talud Dondong RT 002</t>
  </si>
  <si>
    <t>Talud Mojosari RT 002</t>
  </si>
  <si>
    <t>Talud Dondong RT 001</t>
  </si>
  <si>
    <t>Talud Mojosari RT 001</t>
  </si>
  <si>
    <t>Talud Temanggung RT 005</t>
  </si>
  <si>
    <t>Selokan Cekel RT 001</t>
  </si>
  <si>
    <t>Jalan Usaha Tani Jetis (Barat Makam)</t>
  </si>
  <si>
    <t>Talud Jetis RT 004</t>
  </si>
  <si>
    <t>Meteran Listrik 2200 Watt Perpustakaan (Koreksi Kesalahan Rekening Belanja di APBKal masuk Belanja Modal Jalan)</t>
  </si>
  <si>
    <t>Jaringan PDAM Perpustakaan (Koreksi Kesalahan Rekening Belanja di APBKal masuk Belanja Modal Jalan)</t>
  </si>
  <si>
    <t>Buku Koleksi Perpustakaan (Hibah Perpusnas RI)</t>
  </si>
  <si>
    <t>Papan Nama Pemerintah Kalurahan (Hibah Setda)</t>
  </si>
  <si>
    <t>Pohon Ketapang</t>
  </si>
  <si>
    <t>KALURAHAN JETIS KAPANEWON SAPTOSARI</t>
  </si>
  <si>
    <t xml:space="preserve">Saldo Aset Tetap Per 31 Desember 2025 sebesar Rp 9.336.525.236,00 terdapat penambahan sebesar </t>
  </si>
  <si>
    <t>Rp 800.880.500,00 dibandingkan nilai Aset Per 31 Desember 2024 dikarekanan ada penambahan nilai aset pada :</t>
  </si>
  <si>
    <t xml:space="preserve">a. </t>
  </si>
  <si>
    <t>Terdapat mutasi tambah peralatan dan mesin berupa Dispenser 1 unit senilai Rp 1.150.000,00 yang berasal</t>
  </si>
  <si>
    <t>dari Koreksi Kesalahan Rekening Belanja di APBKal masuk Belanja Barang dan Jasa</t>
  </si>
  <si>
    <t>dari Koreksi Kesalahan Rekening Belanja di APBKal masuk Belanja Modal Jalan</t>
  </si>
  <si>
    <t>Terdapat mutasi tambah peralatan dan mesin berupa Tangki Air 1 unit senilai Rp 2.150.000,00 yang berasal</t>
  </si>
  <si>
    <t>Terdapat mutasi tambah peralatan dan mesin berupa Pompa Air 1  unit senilai Rp 900.000,00 yang berasal</t>
  </si>
  <si>
    <t>Terdapat mutasi tambah peralatan dan mesin berupa AC Split  1 unit senilai Rp 4.500.000,00 yang berasal</t>
  </si>
  <si>
    <t>Terdapat mutasi tambah peralatan dan mesin berupa Pataka  1 buah senilai Rp 270.000,00 yang berasal</t>
  </si>
  <si>
    <t xml:space="preserve">Terdapat mutasi tambah peralatan dan mesin berupa Kursi Besi/Metal  30 buah senilai Rp 17.100.000,00 </t>
  </si>
  <si>
    <t>yang berasal dari Belanja Modal Pengadaan Peralatan, Mesin dan Alat Berat</t>
  </si>
  <si>
    <t xml:space="preserve">Terdapat mutasi tambah peralatan dan mesin berupa Mesin Absensi  1 Unit senilai Rp 4.000.000,00 </t>
  </si>
  <si>
    <t xml:space="preserve">Terdapat mutasi tambah peralatan dan mesin berupa Exhause Fan  1 unit senilai Rp 500.000,00 yang </t>
  </si>
  <si>
    <t>berasal dari Koreksi Kesalahan Rekening Belanja di APBKal masuk Belanja Modal Jalan</t>
  </si>
  <si>
    <t xml:space="preserve">Terdapat mutasi tambah peralatan dan mesin berupa Tiang Bendera 2 unit senilai Rp 350.000,00 yang </t>
  </si>
  <si>
    <t>berasaldari Koreksi Kesalahan Rekening Belanja di APBKal masuk Belanja Barang dan Jasa</t>
  </si>
  <si>
    <t xml:space="preserve">Terdapat mutasi tambah peralatan dan mesin berupa Alat Penghancur Kertas  1 Unit senilai </t>
  </si>
  <si>
    <t>Rp 2.500.000,00 yang berasal dari Belanja Modal Pengadaan Peralatan, Mesin dan Alat Berat</t>
  </si>
  <si>
    <t xml:space="preserve">Terdapat mutasi tambah gedung dan bangunan berupa Rehabilitasi Gedung Kantor/Balai Kalurahan  senilai </t>
  </si>
  <si>
    <t>Rp 102.212.000,00 yang berasal dari Belanja Modal Gedung, Bangunan dan Taman</t>
  </si>
  <si>
    <t xml:space="preserve">Terdapat mutasi tambah gedung dan bangunan berupa Bangunan Gedung Kantor Lainnya (Talud taman baca)  </t>
  </si>
  <si>
    <t>senilai  Rp 120.000.000,00 yang berasal dari Belanja Modal Jalan/Prasarana Jalan</t>
  </si>
  <si>
    <t xml:space="preserve">Terdapat mutasi tambah gedung dan bangunan berupa Bangunan Gedung Perpustakaan Permanen  </t>
  </si>
  <si>
    <t xml:space="preserve">Terdapat mutasi tambah gedung dan bangunan berupa Bangunan Fasilitas Umum Lainnya (Ambiteater)  </t>
  </si>
  <si>
    <t>senilai  Rp 48.450.000,00 yang berasal dari Belanja Modal Gedung, Bangunan dan Taman</t>
  </si>
  <si>
    <t>Jalan, Jaringan dan Instalasi</t>
  </si>
  <si>
    <t>Terdapat mutasi tambah pada jalan, jaringan dan Instalasi berupa Jalan lainnya (Talud Jetis RT 4)</t>
  </si>
  <si>
    <t xml:space="preserve">senilai  Rp 446.704.500.000,00 yang berasal dari Belanja Modal Gedung, Bangunan, Taman   </t>
  </si>
  <si>
    <t>Rp 136.286.000,00 dan Belanja Modal Jalan/Prasarana Jalan Rp 310.418.500,00</t>
  </si>
  <si>
    <t>Senilai Rp 37.736.000,00 yang berasal dari Belanja Modal Jalan/Prasarana Jalan</t>
  </si>
  <si>
    <t>Terdapat mutasi tambah pada jalan, jaringan dan Instalasi berupa Jaringan Listrik Lainnya</t>
  </si>
  <si>
    <t>(Listrik perpustakaan) Senilai Rp 4.500.000,00 yang berasal dari Belanja Modal Jalan/Prasarana Jalan</t>
  </si>
  <si>
    <t>Terdapat mutasi tambah pada jalan, jaringan dan Instalasi berupa Jaringan Air Minum Lainnya</t>
  </si>
  <si>
    <t>(PAM perpustakaan) Senilai Rp 3.500.000,00 yang berasal dari Belanja Modal Jalan/Prasarana Jalan</t>
  </si>
  <si>
    <t>senilai Rp 4.358.000,00 yang berasal dari Hibah buku Perpusnas RI</t>
  </si>
  <si>
    <t xml:space="preserve">Terdapat mutasi tambah pada aset tetap lainnya berupa Buku Lainnya ( Buku Koleksi Perpustakaan) </t>
  </si>
  <si>
    <t>KPM</t>
  </si>
  <si>
    <t>PPSE</t>
  </si>
  <si>
    <t>Permakanan Disabilitas</t>
  </si>
  <si>
    <t>Permakanan Lansia</t>
  </si>
  <si>
    <t>BLTS</t>
  </si>
  <si>
    <t>JSLU</t>
  </si>
  <si>
    <t>Orang</t>
  </si>
  <si>
    <t>CPP</t>
  </si>
  <si>
    <t>PMT Balita</t>
  </si>
  <si>
    <t>PMT Lansia</t>
  </si>
  <si>
    <t>PUSKESMAS</t>
  </si>
  <si>
    <t>DAIS</t>
  </si>
  <si>
    <t>Pelatihan Batik Tulis</t>
  </si>
  <si>
    <t xml:space="preserve">Dispussip Kab. </t>
  </si>
  <si>
    <t>Pelibatan Masyarakat/ Bimtek</t>
  </si>
  <si>
    <t>APBD</t>
  </si>
  <si>
    <t>Fisik</t>
  </si>
  <si>
    <t>0.2</t>
  </si>
  <si>
    <t>KM</t>
  </si>
  <si>
    <t>DPUPRKP Kab.</t>
  </si>
  <si>
    <t>Bimtek Kaltana</t>
  </si>
  <si>
    <t>BPBD Kab.</t>
  </si>
  <si>
    <t>Pengaspalan Jalan Mojosari RT 05</t>
  </si>
  <si>
    <t>BAST No. 1484.117/RT.01.3-BA/3403/Sek-kab/XII/2020</t>
  </si>
  <si>
    <t xml:space="preserve"> 22/03/2021</t>
  </si>
  <si>
    <t xml:space="preserve">BAST 140/417/BA/III/2021 </t>
  </si>
  <si>
    <t xml:space="preserve">BAST 028/47/BA/VIII/2022 </t>
  </si>
  <si>
    <t>BAST 000.4.3.2/8502</t>
  </si>
  <si>
    <t>BAST No. 07176/AV-PN2129VI/2024</t>
  </si>
  <si>
    <t>00413/KWT/PBK/X/2025</t>
  </si>
  <si>
    <t>00414/KWT/ADD/X/2025</t>
  </si>
  <si>
    <t>00425/KWT/DDS/X/2025</t>
  </si>
  <si>
    <t>00508/KWT/DDS/XI/2025</t>
  </si>
  <si>
    <t>00607/KWT/ADD/XII/2025</t>
  </si>
  <si>
    <t>00627/KWT/PBH/XII/2025</t>
  </si>
  <si>
    <t>00628/KWT/PBH/XII/2025</t>
  </si>
  <si>
    <t>00358/KWT/DDS/IX/2025</t>
  </si>
  <si>
    <t>00281/KWT/PBP/VIII/2025</t>
  </si>
  <si>
    <t>00544/KWT/DDS/XII/2025</t>
  </si>
  <si>
    <t>00577/KWT/DDS/XII/2025</t>
  </si>
  <si>
    <t>00282/KWT/DDS/VIII/2025</t>
  </si>
  <si>
    <t>00297/KWT/DDS/VIII/2025</t>
  </si>
  <si>
    <t>13/K/XII/2016</t>
  </si>
  <si>
    <t>0014/KWT/ADD/III/2018</t>
  </si>
  <si>
    <t>1/K/IX/2015</t>
  </si>
  <si>
    <t>00281/KWT/DDS/XI/2021</t>
  </si>
  <si>
    <t>00210/KWT/PAD/IX/2022</t>
  </si>
  <si>
    <t>00211/KWT/PAD/IX/2022</t>
  </si>
  <si>
    <t>00377/KWT/DDS/XII/2022</t>
  </si>
  <si>
    <t>00215/KWT/DDS/VI/2023</t>
  </si>
  <si>
    <t>00433/KWT/DDS/XI/2023</t>
  </si>
  <si>
    <t>00160/KWT/DDS/V/2024</t>
  </si>
  <si>
    <t>00204/KWT/DDS/VII/2024</t>
  </si>
  <si>
    <t>02/SPK/JTS/XI/2024</t>
  </si>
  <si>
    <t>03/SPK/LP.EHDW/XII/2024</t>
  </si>
  <si>
    <t>20/K/XI/2016</t>
  </si>
  <si>
    <t>16/K/IX/2016</t>
  </si>
  <si>
    <t>21/9/2016</t>
  </si>
  <si>
    <t>04/K/DD/VI/2017</t>
  </si>
  <si>
    <t>00449/KWT/DDS/X/2024</t>
  </si>
  <si>
    <t>00445/KWT/DDS/X/2024</t>
  </si>
  <si>
    <t>00462/KWT/PBK/X/2024</t>
  </si>
  <si>
    <t>00455/KWT/PBK/X/2024</t>
  </si>
  <si>
    <t>00469/KWT/PBK/X/2024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</si>
</sst>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(* #,##0_);_(* \(#,##0\);_(* &quot;-&quot;_);_(@_)"/>
    <numFmt numFmtId="43" formatCode="_(* #,##0.00_);_(* \(#,##0.00\);_(* &quot;-&quot;??_);_(@_)"/>
    <numFmt numFmtId="164" formatCode="&quot;Rp&quot;#,##0.00;[Red]\-&quot;Rp&quot;#,##0.00"/>
    <numFmt numFmtId="165" formatCode="_-* #,##0_-;\-* #,##0_-;_-* &quot;-&quot;_-;_-@_-"/>
    <numFmt numFmtId="166" formatCode="_-&quot;Rp&quot;* #,##0.00_-;\-&quot;Rp&quot;* #,##0.00_-;_-&quot;Rp&quot;* &quot;-&quot;??_-;_-@_-"/>
    <numFmt numFmtId="167" formatCode="_-* #,##0.00_-;\-* #,##0.00_-;_-* &quot;-&quot;??_-;_-@_-"/>
    <numFmt numFmtId="168" formatCode="_-* #,##0.00_-;\-* #,##0.00_-;_-* &quot;-&quot;_-;_-@_-"/>
    <numFmt numFmtId="169" formatCode="#,##0.00_ ;\-#,##0.00\ "/>
    <numFmt numFmtId="170" formatCode="_(* #,##0.00_);_(* \(#,##0.00\);_(* &quot;-&quot;_);_(@_)"/>
    <numFmt numFmtId="171" formatCode="[$-13809]dd/mm/yyyy;@"/>
    <numFmt numFmtId="172" formatCode="_(* #,##0_);_(* \(#,##0\);_(* &quot;-&quot;??_);_(@_)"/>
    <numFmt numFmtId="173" formatCode="_-[$Rp-421]* #,##0_-;\-[$Rp-421]* #,##0_-;_-[$Rp-421]* &quot;-&quot;_-;_-@_-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charset val="1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i/>
      <sz val="10"/>
      <color theme="1"/>
      <name val="Arial"/>
      <family val="2"/>
    </font>
    <font>
      <i/>
      <sz val="10"/>
      <color rgb="FFFF0000"/>
      <name val="Arial"/>
      <family val="2"/>
    </font>
    <font>
      <b/>
      <sz val="10"/>
      <color theme="1"/>
      <name val="Arial"/>
      <family val="2"/>
    </font>
    <font>
      <sz val="10.5"/>
      <color theme="1"/>
      <name val="Arial"/>
      <family val="2"/>
    </font>
    <font>
      <i/>
      <sz val="10.5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i/>
      <sz val="8"/>
      <color theme="1"/>
      <name val="Arial"/>
      <family val="2"/>
    </font>
    <font>
      <sz val="10"/>
      <color theme="9" tint="0.39997558519241921"/>
      <name val="Arial"/>
      <family val="2"/>
    </font>
    <font>
      <b/>
      <sz val="10"/>
      <color theme="9" tint="0.3999755851924192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i/>
      <sz val="10"/>
      <color theme="9" tint="0.39997558519241921"/>
      <name val="Arial"/>
      <family val="2"/>
    </font>
    <font>
      <u/>
      <sz val="11"/>
      <color theme="1"/>
      <name val="Arial"/>
      <family val="2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u/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charset val="134"/>
    </font>
    <font>
      <b/>
      <sz val="8"/>
      <color theme="1"/>
      <name val="Arial"/>
      <charset val="134"/>
    </font>
    <font>
      <sz val="8"/>
      <name val="Arial"/>
      <charset val="134"/>
    </font>
    <font>
      <i/>
      <sz val="8"/>
      <color theme="1"/>
      <name val="Arial"/>
      <charset val="134"/>
    </font>
    <font>
      <sz val="8"/>
      <color rgb="FFFF0000"/>
      <name val="Arial"/>
      <charset val="134"/>
    </font>
    <font>
      <b/>
      <sz val="7"/>
      <color theme="1"/>
      <name val="Arial"/>
      <charset val="134"/>
    </font>
    <font>
      <sz val="7"/>
      <color theme="1"/>
      <name val="Arial"/>
      <charset val="134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</borders>
  <cellStyleXfs count="18">
    <xf numFmtId="0" fontId="0" fillId="0" borderId="0"/>
    <xf numFmtId="165" fontId="2" fillId="0" borderId="0" applyFont="0" applyFill="0" applyBorder="0" applyAlignment="0" applyProtection="0"/>
    <xf numFmtId="0" fontId="2" fillId="0" borderId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1" fillId="0" borderId="0"/>
    <xf numFmtId="41" fontId="11" fillId="0" borderId="0" applyFont="0" applyFill="0" applyBorder="0" applyAlignment="0" applyProtection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0" fontId="11" fillId="0" borderId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</cellStyleXfs>
  <cellXfs count="73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4" fillId="0" borderId="2" xfId="0" applyFont="1" applyBorder="1"/>
    <xf numFmtId="0" fontId="3" fillId="0" borderId="2" xfId="0" applyFont="1" applyBorder="1" applyAlignment="1">
      <alignment vertical="top" wrapText="1"/>
    </xf>
    <xf numFmtId="0" fontId="4" fillId="0" borderId="0" xfId="0" applyFont="1"/>
    <xf numFmtId="0" fontId="3" fillId="0" borderId="5" xfId="0" applyFont="1" applyBorder="1"/>
    <xf numFmtId="0" fontId="3" fillId="0" borderId="6" xfId="0" applyFont="1" applyBorder="1" applyAlignment="1">
      <alignment vertical="top"/>
    </xf>
    <xf numFmtId="0" fontId="3" fillId="0" borderId="0" xfId="0" quotePrefix="1" applyFont="1" applyAlignment="1">
      <alignment horizontal="center"/>
    </xf>
    <xf numFmtId="0" fontId="3" fillId="0" borderId="0" xfId="0" applyFont="1" applyAlignment="1">
      <alignment vertical="center"/>
    </xf>
    <xf numFmtId="166" fontId="3" fillId="0" borderId="0" xfId="0" applyNumberFormat="1" applyFont="1"/>
    <xf numFmtId="0" fontId="3" fillId="0" borderId="0" xfId="0" applyFont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 vertical="top"/>
    </xf>
    <xf numFmtId="4" fontId="3" fillId="0" borderId="0" xfId="0" applyNumberFormat="1" applyFont="1" applyAlignment="1">
      <alignment vertical="top"/>
    </xf>
    <xf numFmtId="167" fontId="3" fillId="0" borderId="0" xfId="0" applyNumberFormat="1" applyFont="1"/>
    <xf numFmtId="0" fontId="3" fillId="0" borderId="0" xfId="0" applyFont="1" applyAlignment="1">
      <alignment vertical="center" wrapText="1"/>
    </xf>
    <xf numFmtId="164" fontId="3" fillId="0" borderId="0" xfId="0" quotePrefix="1" applyNumberFormat="1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6" fontId="3" fillId="0" borderId="0" xfId="0" applyNumberFormat="1" applyFont="1" applyAlignment="1">
      <alignment horizontal="center"/>
    </xf>
    <xf numFmtId="169" fontId="3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166" fontId="3" fillId="0" borderId="0" xfId="0" applyNumberFormat="1" applyFont="1" applyAlignment="1">
      <alignment vertical="center"/>
    </xf>
    <xf numFmtId="0" fontId="3" fillId="0" borderId="0" xfId="0" quotePrefix="1" applyFont="1"/>
    <xf numFmtId="169" fontId="3" fillId="0" borderId="0" xfId="0" applyNumberFormat="1" applyFont="1" applyAlignment="1">
      <alignment vertical="top" wrapText="1"/>
    </xf>
    <xf numFmtId="169" fontId="3" fillId="0" borderId="0" xfId="0" applyNumberFormat="1" applyFont="1" applyAlignment="1">
      <alignment vertical="center" wrapText="1"/>
    </xf>
    <xf numFmtId="169" fontId="3" fillId="0" borderId="0" xfId="0" applyNumberFormat="1" applyFont="1" applyAlignment="1">
      <alignment vertical="top"/>
    </xf>
    <xf numFmtId="169" fontId="4" fillId="0" borderId="0" xfId="0" applyNumberFormat="1" applyFont="1" applyAlignment="1">
      <alignment vertical="top" wrapText="1"/>
    </xf>
    <xf numFmtId="0" fontId="4" fillId="0" borderId="0" xfId="0" applyFont="1" applyAlignment="1">
      <alignment vertical="top" wrapText="1"/>
    </xf>
    <xf numFmtId="168" fontId="3" fillId="0" borderId="0" xfId="1" applyNumberFormat="1" applyFont="1" applyAlignment="1"/>
    <xf numFmtId="168" fontId="3" fillId="0" borderId="0" xfId="1" applyNumberFormat="1" applyFont="1" applyBorder="1" applyAlignment="1"/>
    <xf numFmtId="168" fontId="3" fillId="0" borderId="0" xfId="1" applyNumberFormat="1" applyFont="1" applyAlignment="1">
      <alignment horizontal="center"/>
    </xf>
    <xf numFmtId="168" fontId="3" fillId="0" borderId="0" xfId="1" applyNumberFormat="1" applyFont="1" applyBorder="1" applyAlignment="1">
      <alignment horizontal="center"/>
    </xf>
    <xf numFmtId="0" fontId="8" fillId="0" borderId="0" xfId="2" applyFont="1"/>
    <xf numFmtId="168" fontId="10" fillId="0" borderId="0" xfId="3" applyNumberFormat="1" applyFont="1" applyFill="1" applyBorder="1"/>
    <xf numFmtId="0" fontId="10" fillId="0" borderId="0" xfId="2" applyFont="1"/>
    <xf numFmtId="0" fontId="8" fillId="0" borderId="0" xfId="2" applyFont="1" applyAlignment="1">
      <alignment horizontal="center"/>
    </xf>
    <xf numFmtId="4" fontId="8" fillId="0" borderId="0" xfId="2" applyNumberFormat="1" applyFont="1" applyAlignment="1">
      <alignment horizontal="center"/>
    </xf>
    <xf numFmtId="0" fontId="8" fillId="0" borderId="11" xfId="2" applyFont="1" applyBorder="1" applyAlignment="1">
      <alignment horizontal="center" vertical="center"/>
    </xf>
    <xf numFmtId="4" fontId="8" fillId="0" borderId="11" xfId="4" applyNumberFormat="1" applyFont="1" applyFill="1" applyBorder="1" applyAlignment="1">
      <alignment horizontal="center" vertical="center"/>
    </xf>
    <xf numFmtId="4" fontId="8" fillId="0" borderId="11" xfId="4" applyNumberFormat="1" applyFont="1" applyFill="1" applyBorder="1" applyAlignment="1">
      <alignment horizontal="center" vertical="center" wrapText="1"/>
    </xf>
    <xf numFmtId="0" fontId="8" fillId="0" borderId="12" xfId="2" applyFont="1" applyBorder="1"/>
    <xf numFmtId="0" fontId="8" fillId="0" borderId="13" xfId="2" applyFont="1" applyBorder="1"/>
    <xf numFmtId="0" fontId="8" fillId="0" borderId="14" xfId="2" applyFont="1" applyBorder="1" applyAlignment="1">
      <alignment horizontal="center"/>
    </xf>
    <xf numFmtId="4" fontId="8" fillId="0" borderId="14" xfId="4" applyNumberFormat="1" applyFont="1" applyFill="1" applyBorder="1"/>
    <xf numFmtId="168" fontId="10" fillId="0" borderId="0" xfId="3" applyNumberFormat="1" applyFont="1" applyFill="1" applyBorder="1" applyAlignment="1">
      <alignment horizontal="center"/>
    </xf>
    <xf numFmtId="0" fontId="10" fillId="0" borderId="0" xfId="2" applyFont="1" applyAlignment="1">
      <alignment horizontal="center"/>
    </xf>
    <xf numFmtId="0" fontId="8" fillId="0" borderId="15" xfId="2" applyFont="1" applyBorder="1"/>
    <xf numFmtId="0" fontId="8" fillId="0" borderId="16" xfId="2" applyFont="1" applyBorder="1"/>
    <xf numFmtId="0" fontId="8" fillId="0" borderId="17" xfId="2" applyFont="1" applyBorder="1" applyAlignment="1">
      <alignment horizontal="center"/>
    </xf>
    <xf numFmtId="168" fontId="8" fillId="0" borderId="17" xfId="3" applyNumberFormat="1" applyFont="1" applyFill="1" applyBorder="1"/>
    <xf numFmtId="4" fontId="8" fillId="0" borderId="17" xfId="4" applyNumberFormat="1" applyFont="1" applyFill="1" applyBorder="1"/>
    <xf numFmtId="4" fontId="10" fillId="0" borderId="0" xfId="3" applyNumberFormat="1" applyFont="1" applyFill="1" applyBorder="1"/>
    <xf numFmtId="4" fontId="10" fillId="0" borderId="0" xfId="2" applyNumberFormat="1" applyFont="1"/>
    <xf numFmtId="168" fontId="7" fillId="0" borderId="0" xfId="3" applyNumberFormat="1" applyFont="1" applyFill="1" applyBorder="1" applyAlignment="1">
      <alignment horizontal="center" vertical="center"/>
    </xf>
    <xf numFmtId="169" fontId="8" fillId="0" borderId="0" xfId="2" applyNumberFormat="1" applyFont="1"/>
    <xf numFmtId="168" fontId="11" fillId="0" borderId="17" xfId="3" applyNumberFormat="1" applyFont="1" applyFill="1" applyBorder="1"/>
    <xf numFmtId="165" fontId="10" fillId="0" borderId="0" xfId="3" applyFont="1" applyFill="1" applyBorder="1"/>
    <xf numFmtId="4" fontId="8" fillId="0" borderId="0" xfId="2" applyNumberFormat="1" applyFont="1"/>
    <xf numFmtId="168" fontId="8" fillId="0" borderId="0" xfId="2" applyNumberFormat="1" applyFont="1"/>
    <xf numFmtId="0" fontId="8" fillId="0" borderId="18" xfId="2" applyFont="1" applyBorder="1"/>
    <xf numFmtId="0" fontId="8" fillId="0" borderId="19" xfId="2" applyFont="1" applyBorder="1"/>
    <xf numFmtId="0" fontId="8" fillId="0" borderId="20" xfId="2" applyFont="1" applyBorder="1" applyAlignment="1">
      <alignment horizontal="center"/>
    </xf>
    <xf numFmtId="4" fontId="8" fillId="0" borderId="20" xfId="4" applyNumberFormat="1" applyFont="1" applyFill="1" applyBorder="1"/>
    <xf numFmtId="0" fontId="8" fillId="0" borderId="9" xfId="2" applyFont="1" applyBorder="1"/>
    <xf numFmtId="0" fontId="8" fillId="0" borderId="10" xfId="2" applyFont="1" applyBorder="1" applyAlignment="1">
      <alignment horizontal="right"/>
    </xf>
    <xf numFmtId="0" fontId="8" fillId="0" borderId="11" xfId="2" applyFont="1" applyBorder="1" applyAlignment="1">
      <alignment horizontal="center"/>
    </xf>
    <xf numFmtId="4" fontId="8" fillId="0" borderId="11" xfId="4" applyNumberFormat="1" applyFont="1" applyFill="1" applyBorder="1"/>
    <xf numFmtId="0" fontId="12" fillId="0" borderId="17" xfId="2" applyFont="1" applyBorder="1" applyAlignment="1">
      <alignment horizontal="center"/>
    </xf>
    <xf numFmtId="169" fontId="12" fillId="0" borderId="17" xfId="4" applyNumberFormat="1" applyFont="1" applyFill="1" applyBorder="1"/>
    <xf numFmtId="170" fontId="12" fillId="0" borderId="17" xfId="4" applyNumberFormat="1" applyFont="1" applyFill="1" applyBorder="1"/>
    <xf numFmtId="4" fontId="12" fillId="0" borderId="17" xfId="4" applyNumberFormat="1" applyFont="1" applyFill="1" applyBorder="1"/>
    <xf numFmtId="169" fontId="8" fillId="0" borderId="17" xfId="4" applyNumberFormat="1" applyFont="1" applyFill="1" applyBorder="1"/>
    <xf numFmtId="41" fontId="10" fillId="0" borderId="0" xfId="2" applyNumberFormat="1" applyFont="1"/>
    <xf numFmtId="43" fontId="10" fillId="0" borderId="0" xfId="2" applyNumberFormat="1" applyFont="1"/>
    <xf numFmtId="0" fontId="12" fillId="0" borderId="20" xfId="2" applyFont="1" applyBorder="1" applyAlignment="1">
      <alignment horizontal="center"/>
    </xf>
    <xf numFmtId="4" fontId="12" fillId="0" borderId="11" xfId="4" applyNumberFormat="1" applyFont="1" applyFill="1" applyBorder="1"/>
    <xf numFmtId="0" fontId="13" fillId="0" borderId="21" xfId="2" applyFont="1" applyBorder="1"/>
    <xf numFmtId="0" fontId="13" fillId="0" borderId="5" xfId="2" applyFont="1" applyBorder="1"/>
    <xf numFmtId="0" fontId="13" fillId="0" borderId="5" xfId="2" applyFont="1" applyBorder="1" applyAlignment="1">
      <alignment horizontal="center"/>
    </xf>
    <xf numFmtId="4" fontId="13" fillId="0" borderId="5" xfId="4" applyNumberFormat="1" applyFont="1" applyFill="1" applyBorder="1"/>
    <xf numFmtId="4" fontId="8" fillId="0" borderId="5" xfId="4" applyNumberFormat="1" applyFont="1" applyFill="1" applyBorder="1"/>
    <xf numFmtId="167" fontId="10" fillId="0" borderId="0" xfId="2" applyNumberFormat="1" applyFont="1"/>
    <xf numFmtId="0" fontId="13" fillId="0" borderId="0" xfId="2" applyFont="1"/>
    <xf numFmtId="0" fontId="13" fillId="0" borderId="0" xfId="2" applyFont="1" applyAlignment="1">
      <alignment horizontal="center"/>
    </xf>
    <xf numFmtId="4" fontId="13" fillId="0" borderId="0" xfId="4" applyNumberFormat="1" applyFont="1" applyFill="1"/>
    <xf numFmtId="168" fontId="14" fillId="0" borderId="0" xfId="3" applyNumberFormat="1" applyFont="1" applyFill="1" applyBorder="1"/>
    <xf numFmtId="0" fontId="14" fillId="0" borderId="0" xfId="2" applyFont="1"/>
    <xf numFmtId="4" fontId="8" fillId="0" borderId="0" xfId="4" applyNumberFormat="1" applyFont="1" applyFill="1"/>
    <xf numFmtId="4" fontId="8" fillId="0" borderId="0" xfId="4" applyNumberFormat="1" applyFont="1" applyFill="1" applyAlignment="1">
      <alignment horizontal="center"/>
    </xf>
    <xf numFmtId="169" fontId="8" fillId="0" borderId="17" xfId="3" applyNumberFormat="1" applyFont="1" applyFill="1" applyBorder="1"/>
    <xf numFmtId="4" fontId="15" fillId="0" borderId="11" xfId="4" applyNumberFormat="1" applyFont="1" applyFill="1" applyBorder="1"/>
    <xf numFmtId="0" fontId="16" fillId="0" borderId="0" xfId="2" applyFont="1"/>
    <xf numFmtId="0" fontId="16" fillId="0" borderId="0" xfId="2" applyFont="1" applyAlignment="1">
      <alignment horizontal="center"/>
    </xf>
    <xf numFmtId="0" fontId="8" fillId="0" borderId="0" xfId="5" applyFont="1" applyAlignment="1">
      <alignment horizontal="left" vertical="center"/>
    </xf>
    <xf numFmtId="0" fontId="8" fillId="0" borderId="0" xfId="5" applyFont="1" applyAlignment="1">
      <alignment vertical="center"/>
    </xf>
    <xf numFmtId="165" fontId="8" fillId="0" borderId="0" xfId="3" applyFont="1" applyFill="1" applyAlignment="1">
      <alignment horizontal="left" vertical="center"/>
    </xf>
    <xf numFmtId="170" fontId="8" fillId="0" borderId="0" xfId="5" applyNumberFormat="1" applyFont="1" applyAlignment="1">
      <alignment vertical="center"/>
    </xf>
    <xf numFmtId="0" fontId="15" fillId="0" borderId="0" xfId="5" applyFont="1" applyAlignment="1">
      <alignment vertical="center"/>
    </xf>
    <xf numFmtId="0" fontId="18" fillId="0" borderId="0" xfId="5" applyFont="1" applyAlignment="1">
      <alignment vertical="center"/>
    </xf>
    <xf numFmtId="0" fontId="8" fillId="0" borderId="0" xfId="5" applyFont="1" applyAlignment="1">
      <alignment horizontal="center" vertical="center"/>
    </xf>
    <xf numFmtId="0" fontId="19" fillId="0" borderId="0" xfId="5" applyFont="1" applyAlignment="1">
      <alignment horizontal="left" vertical="center"/>
    </xf>
    <xf numFmtId="0" fontId="11" fillId="0" borderId="0" xfId="5" applyAlignment="1">
      <alignment vertical="center"/>
    </xf>
    <xf numFmtId="0" fontId="11" fillId="0" borderId="0" xfId="5" applyAlignment="1">
      <alignment vertical="center" wrapText="1"/>
    </xf>
    <xf numFmtId="0" fontId="20" fillId="0" borderId="0" xfId="5" applyFont="1" applyAlignment="1">
      <alignment vertical="center"/>
    </xf>
    <xf numFmtId="0" fontId="21" fillId="0" borderId="0" xfId="5" applyFont="1" applyAlignment="1">
      <alignment vertical="center"/>
    </xf>
    <xf numFmtId="167" fontId="11" fillId="0" borderId="0" xfId="5" applyNumberFormat="1" applyAlignment="1">
      <alignment vertical="center"/>
    </xf>
    <xf numFmtId="167" fontId="21" fillId="0" borderId="0" xfId="5" applyNumberFormat="1" applyFont="1" applyAlignment="1">
      <alignment vertical="center"/>
    </xf>
    <xf numFmtId="167" fontId="11" fillId="0" borderId="0" xfId="5" applyNumberFormat="1" applyAlignment="1">
      <alignment vertical="top"/>
    </xf>
    <xf numFmtId="0" fontId="11" fillId="0" borderId="0" xfId="5" applyAlignment="1">
      <alignment vertical="top"/>
    </xf>
    <xf numFmtId="0" fontId="22" fillId="0" borderId="0" xfId="5" applyFont="1" applyAlignment="1">
      <alignment vertical="center"/>
    </xf>
    <xf numFmtId="39" fontId="8" fillId="0" borderId="0" xfId="5" applyNumberFormat="1" applyFont="1" applyAlignment="1">
      <alignment vertical="center"/>
    </xf>
    <xf numFmtId="0" fontId="8" fillId="0" borderId="0" xfId="7" applyFont="1" applyAlignment="1">
      <alignment horizontal="center"/>
    </xf>
    <xf numFmtId="0" fontId="8" fillId="0" borderId="0" xfId="7" applyFont="1"/>
    <xf numFmtId="165" fontId="8" fillId="0" borderId="0" xfId="3" applyFont="1" applyAlignment="1">
      <alignment horizontal="center"/>
    </xf>
    <xf numFmtId="0" fontId="15" fillId="0" borderId="0" xfId="7" applyFont="1"/>
    <xf numFmtId="0" fontId="8" fillId="0" borderId="1" xfId="7" applyFont="1" applyBorder="1" applyAlignment="1">
      <alignment horizontal="center" vertical="center"/>
    </xf>
    <xf numFmtId="165" fontId="8" fillId="0" borderId="1" xfId="3" applyFont="1" applyBorder="1" applyAlignment="1">
      <alignment horizontal="center" vertical="center"/>
    </xf>
    <xf numFmtId="165" fontId="8" fillId="0" borderId="1" xfId="3" applyFont="1" applyBorder="1" applyAlignment="1">
      <alignment horizontal="center"/>
    </xf>
    <xf numFmtId="0" fontId="8" fillId="0" borderId="1" xfId="7" applyFont="1" applyBorder="1" applyAlignment="1">
      <alignment horizontal="center"/>
    </xf>
    <xf numFmtId="0" fontId="23" fillId="0" borderId="31" xfId="7" applyFont="1" applyBorder="1" applyAlignment="1">
      <alignment horizontal="center" vertical="center"/>
    </xf>
    <xf numFmtId="165" fontId="23" fillId="0" borderId="31" xfId="3" applyFont="1" applyBorder="1" applyAlignment="1">
      <alignment horizontal="center" vertical="center"/>
    </xf>
    <xf numFmtId="0" fontId="23" fillId="0" borderId="0" xfId="7" applyFont="1" applyAlignment="1">
      <alignment horizontal="center"/>
    </xf>
    <xf numFmtId="0" fontId="8" fillId="0" borderId="1" xfId="7" applyFont="1" applyBorder="1" applyAlignment="1">
      <alignment horizontal="center" vertical="top" wrapText="1"/>
    </xf>
    <xf numFmtId="0" fontId="8" fillId="0" borderId="1" xfId="7" applyFont="1" applyBorder="1" applyAlignment="1">
      <alignment vertical="top" wrapText="1"/>
    </xf>
    <xf numFmtId="0" fontId="8" fillId="0" borderId="0" xfId="7" applyFont="1" applyAlignment="1">
      <alignment vertical="top" wrapText="1"/>
    </xf>
    <xf numFmtId="165" fontId="8" fillId="0" borderId="1" xfId="3" applyFont="1" applyBorder="1" applyAlignment="1">
      <alignment horizontal="center" vertical="top" wrapText="1"/>
    </xf>
    <xf numFmtId="165" fontId="15" fillId="0" borderId="1" xfId="3" applyFont="1" applyBorder="1" applyAlignment="1">
      <alignment horizontal="center" vertical="center"/>
    </xf>
    <xf numFmtId="0" fontId="15" fillId="0" borderId="1" xfId="7" applyFont="1" applyBorder="1" applyAlignment="1">
      <alignment horizontal="center" vertical="center"/>
    </xf>
    <xf numFmtId="0" fontId="15" fillId="0" borderId="0" xfId="7" applyFont="1" applyAlignment="1">
      <alignment vertical="center"/>
    </xf>
    <xf numFmtId="0" fontId="15" fillId="0" borderId="1" xfId="7" applyFont="1" applyBorder="1" applyAlignment="1">
      <alignment horizontal="center"/>
    </xf>
    <xf numFmtId="0" fontId="11" fillId="0" borderId="0" xfId="8" applyFont="1" applyAlignment="1">
      <alignment vertical="center"/>
    </xf>
    <xf numFmtId="0" fontId="24" fillId="0" borderId="0" xfId="8" applyFont="1" applyAlignment="1">
      <alignment vertical="center"/>
    </xf>
    <xf numFmtId="0" fontId="11" fillId="0" borderId="5" xfId="8" applyFont="1" applyBorder="1" applyAlignment="1">
      <alignment horizontal="center" vertical="center"/>
    </xf>
    <xf numFmtId="0" fontId="11" fillId="0" borderId="2" xfId="8" applyFont="1" applyBorder="1" applyAlignment="1">
      <alignment horizontal="center" vertical="center"/>
    </xf>
    <xf numFmtId="0" fontId="11" fillId="0" borderId="31" xfId="8" applyFont="1" applyBorder="1" applyAlignment="1">
      <alignment horizontal="center" vertical="center"/>
    </xf>
    <xf numFmtId="0" fontId="20" fillId="0" borderId="22" xfId="8" applyFont="1" applyBorder="1" applyAlignment="1">
      <alignment horizontal="center" vertical="center"/>
    </xf>
    <xf numFmtId="0" fontId="20" fillId="0" borderId="29" xfId="8" applyFont="1" applyBorder="1" applyAlignment="1">
      <alignment vertical="center"/>
    </xf>
    <xf numFmtId="0" fontId="20" fillId="0" borderId="6" xfId="8" applyFont="1" applyBorder="1" applyAlignment="1">
      <alignment vertical="center"/>
    </xf>
    <xf numFmtId="0" fontId="20" fillId="0" borderId="30" xfId="8" applyFont="1" applyBorder="1" applyAlignment="1">
      <alignment horizontal="center"/>
    </xf>
    <xf numFmtId="0" fontId="20" fillId="0" borderId="22" xfId="8" applyFont="1" applyBorder="1" applyAlignment="1">
      <alignment vertical="center"/>
    </xf>
    <xf numFmtId="0" fontId="21" fillId="0" borderId="1" xfId="8" applyFont="1" applyBorder="1" applyAlignment="1">
      <alignment horizontal="center" vertical="center"/>
    </xf>
    <xf numFmtId="0" fontId="21" fillId="0" borderId="2" xfId="8" applyFont="1" applyBorder="1" applyAlignment="1">
      <alignment vertical="center"/>
    </xf>
    <xf numFmtId="0" fontId="21" fillId="0" borderId="3" xfId="8" applyFont="1" applyBorder="1" applyAlignment="1">
      <alignment vertical="center"/>
    </xf>
    <xf numFmtId="0" fontId="21" fillId="0" borderId="4" xfId="8" applyFont="1" applyBorder="1" applyAlignment="1">
      <alignment vertical="center"/>
    </xf>
    <xf numFmtId="0" fontId="21" fillId="0" borderId="1" xfId="8" applyFont="1" applyBorder="1" applyAlignment="1">
      <alignment vertical="center"/>
    </xf>
    <xf numFmtId="171" fontId="21" fillId="0" borderId="1" xfId="8" applyNumberFormat="1" applyFont="1" applyBorder="1" applyAlignment="1">
      <alignment horizontal="center" vertical="center"/>
    </xf>
    <xf numFmtId="165" fontId="21" fillId="0" borderId="1" xfId="9" applyFont="1" applyBorder="1" applyAlignment="1">
      <alignment vertical="center"/>
    </xf>
    <xf numFmtId="0" fontId="21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0" fontId="11" fillId="0" borderId="1" xfId="8" applyFont="1" applyBorder="1" applyAlignment="1">
      <alignment horizontal="center" vertical="center"/>
    </xf>
    <xf numFmtId="0" fontId="26" fillId="0" borderId="2" xfId="8" applyFont="1" applyBorder="1" applyAlignment="1">
      <alignment vertical="center"/>
    </xf>
    <xf numFmtId="0" fontId="11" fillId="0" borderId="4" xfId="8" quotePrefix="1" applyFont="1" applyBorder="1" applyAlignment="1">
      <alignment vertical="center"/>
    </xf>
    <xf numFmtId="0" fontId="11" fillId="0" borderId="4" xfId="8" applyFont="1" applyBorder="1" applyAlignment="1">
      <alignment vertical="center"/>
    </xf>
    <xf numFmtId="0" fontId="11" fillId="0" borderId="1" xfId="8" applyFont="1" applyBorder="1" applyAlignment="1">
      <alignment vertical="center"/>
    </xf>
    <xf numFmtId="171" fontId="11" fillId="0" borderId="1" xfId="8" applyNumberFormat="1" applyFont="1" applyBorder="1" applyAlignment="1">
      <alignment horizontal="center" vertical="center"/>
    </xf>
    <xf numFmtId="165" fontId="11" fillId="0" borderId="1" xfId="9" applyFont="1" applyBorder="1" applyAlignment="1">
      <alignment vertical="center"/>
    </xf>
    <xf numFmtId="0" fontId="11" fillId="0" borderId="3" xfId="8" applyFont="1" applyBorder="1" applyAlignment="1">
      <alignment vertical="center"/>
    </xf>
    <xf numFmtId="0" fontId="27" fillId="0" borderId="2" xfId="8" applyFont="1" applyBorder="1" applyAlignment="1">
      <alignment vertical="center"/>
    </xf>
    <xf numFmtId="49" fontId="11" fillId="0" borderId="1" xfId="8" applyNumberFormat="1" applyFont="1" applyBorder="1" applyAlignment="1">
      <alignment horizontal="center" vertical="center"/>
    </xf>
    <xf numFmtId="4" fontId="11" fillId="0" borderId="1" xfId="9" applyNumberFormat="1" applyFont="1" applyFill="1" applyBorder="1" applyAlignment="1">
      <alignment vertical="center"/>
    </xf>
    <xf numFmtId="165" fontId="21" fillId="0" borderId="1" xfId="9" applyFont="1" applyFill="1" applyBorder="1" applyAlignment="1">
      <alignment vertical="center"/>
    </xf>
    <xf numFmtId="4" fontId="11" fillId="0" borderId="1" xfId="8" applyNumberFormat="1" applyFont="1" applyBorder="1" applyAlignment="1">
      <alignment horizontal="center" vertical="center"/>
    </xf>
    <xf numFmtId="168" fontId="11" fillId="0" borderId="1" xfId="9" applyNumberFormat="1" applyFont="1" applyBorder="1" applyAlignment="1">
      <alignment vertical="center"/>
    </xf>
    <xf numFmtId="43" fontId="11" fillId="0" borderId="1" xfId="8" applyNumberFormat="1" applyFont="1" applyBorder="1" applyAlignment="1">
      <alignment horizontal="center" vertical="center"/>
    </xf>
    <xf numFmtId="0" fontId="11" fillId="0" borderId="2" xfId="8" applyFont="1" applyBorder="1" applyAlignment="1">
      <alignment vertical="center"/>
    </xf>
    <xf numFmtId="39" fontId="21" fillId="0" borderId="1" xfId="9" applyNumberFormat="1" applyFont="1" applyBorder="1" applyAlignment="1">
      <alignment vertical="center"/>
    </xf>
    <xf numFmtId="167" fontId="21" fillId="0" borderId="1" xfId="8" applyNumberFormat="1" applyFont="1" applyBorder="1" applyAlignment="1">
      <alignment vertical="center"/>
    </xf>
    <xf numFmtId="49" fontId="21" fillId="0" borderId="1" xfId="8" applyNumberFormat="1" applyFont="1" applyBorder="1" applyAlignment="1">
      <alignment horizontal="center" vertical="center"/>
    </xf>
    <xf numFmtId="49" fontId="11" fillId="0" borderId="1" xfId="10" applyNumberFormat="1" applyBorder="1" applyAlignment="1">
      <alignment horizontal="center" vertical="center" wrapText="1"/>
    </xf>
    <xf numFmtId="0" fontId="11" fillId="0" borderId="2" xfId="8" quotePrefix="1" applyFont="1" applyBorder="1" applyAlignment="1">
      <alignment vertical="center"/>
    </xf>
    <xf numFmtId="39" fontId="11" fillId="0" borderId="1" xfId="9" applyNumberFormat="1" applyFont="1" applyBorder="1" applyAlignment="1">
      <alignment vertical="center"/>
    </xf>
    <xf numFmtId="0" fontId="28" fillId="0" borderId="0" xfId="8" applyFont="1" applyAlignment="1">
      <alignment horizontal="center" vertical="center"/>
    </xf>
    <xf numFmtId="0" fontId="29" fillId="0" borderId="0" xfId="8" applyFont="1" applyAlignment="1">
      <alignment vertical="center"/>
    </xf>
    <xf numFmtId="0" fontId="28" fillId="0" borderId="0" xfId="8" applyFont="1" applyAlignment="1">
      <alignment vertical="center"/>
    </xf>
    <xf numFmtId="165" fontId="28" fillId="0" borderId="0" xfId="8" applyNumberFormat="1" applyFont="1" applyAlignment="1">
      <alignment vertical="center"/>
    </xf>
    <xf numFmtId="0" fontId="30" fillId="0" borderId="0" xfId="8" applyFont="1" applyAlignment="1">
      <alignment vertical="center"/>
    </xf>
    <xf numFmtId="0" fontId="11" fillId="0" borderId="0" xfId="8" applyFont="1" applyAlignment="1">
      <alignment horizontal="center" vertical="center"/>
    </xf>
    <xf numFmtId="0" fontId="26" fillId="0" borderId="0" xfId="8" applyFont="1" applyAlignment="1">
      <alignment vertical="center"/>
    </xf>
    <xf numFmtId="165" fontId="11" fillId="0" borderId="0" xfId="9" applyFont="1" applyAlignment="1">
      <alignment horizontal="center" vertical="center"/>
    </xf>
    <xf numFmtId="169" fontId="3" fillId="0" borderId="1" xfId="0" applyNumberFormat="1" applyFont="1" applyBorder="1" applyAlignment="1">
      <alignment vertical="top" wrapText="1"/>
    </xf>
    <xf numFmtId="0" fontId="3" fillId="0" borderId="0" xfId="0" quotePrefix="1" applyFont="1" applyAlignment="1">
      <alignment horizontal="left"/>
    </xf>
    <xf numFmtId="0" fontId="3" fillId="0" borderId="6" xfId="0" applyFont="1" applyBorder="1" applyAlignment="1">
      <alignment horizontal="center"/>
    </xf>
    <xf numFmtId="0" fontId="31" fillId="0" borderId="0" xfId="0" applyFont="1" applyAlignment="1">
      <alignment horizontal="center" vertical="top"/>
    </xf>
    <xf numFmtId="0" fontId="31" fillId="0" borderId="0" xfId="0" applyFont="1" applyAlignment="1">
      <alignment horizontal="center"/>
    </xf>
    <xf numFmtId="167" fontId="3" fillId="0" borderId="0" xfId="0" applyNumberFormat="1" applyFont="1" applyAlignment="1">
      <alignment vertical="center" wrapText="1"/>
    </xf>
    <xf numFmtId="0" fontId="3" fillId="0" borderId="0" xfId="0" quotePrefix="1" applyFont="1" applyAlignment="1">
      <alignment vertical="top"/>
    </xf>
    <xf numFmtId="167" fontId="3" fillId="0" borderId="0" xfId="14" applyFont="1" applyAlignment="1">
      <alignment vertical="center" wrapText="1"/>
    </xf>
    <xf numFmtId="169" fontId="3" fillId="0" borderId="6" xfId="0" applyNumberFormat="1" applyFont="1" applyBorder="1" applyAlignment="1">
      <alignment vertical="center" wrapText="1"/>
    </xf>
    <xf numFmtId="167" fontId="3" fillId="0" borderId="0" xfId="14" applyFont="1" applyAlignment="1">
      <alignment vertical="top"/>
    </xf>
    <xf numFmtId="167" fontId="3" fillId="0" borderId="0" xfId="0" applyNumberFormat="1" applyFont="1" applyAlignment="1">
      <alignment vertic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32" fillId="0" borderId="0" xfId="0" applyFont="1"/>
    <xf numFmtId="166" fontId="32" fillId="0" borderId="0" xfId="0" applyNumberFormat="1" applyFont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vertical="center" wrapText="1"/>
    </xf>
    <xf numFmtId="172" fontId="2" fillId="0" borderId="1" xfId="14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4" fontId="21" fillId="0" borderId="1" xfId="9" applyNumberFormat="1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165" fontId="33" fillId="0" borderId="0" xfId="1" applyFont="1" applyFill="1" applyAlignment="1">
      <alignment vertical="center" wrapText="1"/>
    </xf>
    <xf numFmtId="10" fontId="33" fillId="0" borderId="0" xfId="16" applyNumberFormat="1" applyFont="1" applyFill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165" fontId="8" fillId="0" borderId="0" xfId="1" applyFont="1" applyFill="1" applyAlignment="1">
      <alignment vertical="center" wrapText="1"/>
    </xf>
    <xf numFmtId="10" fontId="8" fillId="0" borderId="0" xfId="16" applyNumberFormat="1" applyFont="1" applyFill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1" applyNumberFormat="1" applyFont="1" applyFill="1" applyBorder="1" applyAlignment="1">
      <alignment horizontal="center" vertical="center" wrapText="1"/>
    </xf>
    <xf numFmtId="0" fontId="15" fillId="0" borderId="1" xfId="16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165" fontId="15" fillId="0" borderId="3" xfId="1" applyFont="1" applyFill="1" applyBorder="1" applyAlignment="1">
      <alignment horizontal="center" vertical="center" wrapText="1"/>
    </xf>
    <xf numFmtId="10" fontId="15" fillId="0" borderId="3" xfId="16" applyNumberFormat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 wrapText="1"/>
    </xf>
    <xf numFmtId="0" fontId="34" fillId="0" borderId="2" xfId="0" applyFont="1" applyBorder="1" applyAlignment="1">
      <alignment horizontal="right" vertical="center" wrapText="1"/>
    </xf>
    <xf numFmtId="0" fontId="34" fillId="0" borderId="4" xfId="0" applyFont="1" applyBorder="1" applyAlignment="1">
      <alignment horizontal="left" vertical="center" wrapText="1"/>
    </xf>
    <xf numFmtId="165" fontId="34" fillId="0" borderId="1" xfId="1" applyFont="1" applyFill="1" applyBorder="1" applyAlignment="1">
      <alignment vertical="center" wrapText="1"/>
    </xf>
    <xf numFmtId="165" fontId="34" fillId="0" borderId="1" xfId="0" applyNumberFormat="1" applyFont="1" applyBorder="1" applyAlignment="1">
      <alignment horizontal="right" vertical="center" shrinkToFit="1"/>
    </xf>
    <xf numFmtId="165" fontId="21" fillId="0" borderId="1" xfId="1" applyFont="1" applyFill="1" applyBorder="1" applyAlignment="1">
      <alignment horizontal="left" vertical="center" wrapText="1"/>
    </xf>
    <xf numFmtId="10" fontId="21" fillId="0" borderId="1" xfId="16" applyNumberFormat="1" applyFont="1" applyFill="1" applyBorder="1" applyAlignment="1">
      <alignment horizontal="center" vertical="center" wrapText="1"/>
    </xf>
    <xf numFmtId="165" fontId="34" fillId="0" borderId="1" xfId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 wrapText="1"/>
    </xf>
    <xf numFmtId="1" fontId="34" fillId="0" borderId="2" xfId="0" applyNumberFormat="1" applyFont="1" applyBorder="1" applyAlignment="1">
      <alignment horizontal="right" vertical="center" shrinkToFit="1"/>
    </xf>
    <xf numFmtId="0" fontId="21" fillId="0" borderId="4" xfId="0" applyFont="1" applyBorder="1" applyAlignment="1">
      <alignment horizontal="left" vertical="center" wrapText="1"/>
    </xf>
    <xf numFmtId="165" fontId="34" fillId="0" borderId="1" xfId="1" applyFont="1" applyFill="1" applyBorder="1" applyAlignment="1">
      <alignment horizontal="center" vertical="center" shrinkToFit="1"/>
    </xf>
    <xf numFmtId="165" fontId="34" fillId="0" borderId="1" xfId="1" applyFont="1" applyFill="1" applyBorder="1" applyAlignment="1">
      <alignment horizontal="left" vertical="center" wrapText="1"/>
    </xf>
    <xf numFmtId="10" fontId="34" fillId="0" borderId="1" xfId="16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Border="1" applyAlignment="1">
      <alignment horizontal="left" vertical="center" wrapText="1"/>
    </xf>
    <xf numFmtId="0" fontId="35" fillId="0" borderId="2" xfId="0" applyFont="1" applyBorder="1" applyAlignment="1">
      <alignment horizontal="right" vertical="center" wrapText="1"/>
    </xf>
    <xf numFmtId="0" fontId="35" fillId="0" borderId="4" xfId="0" applyFont="1" applyBorder="1" applyAlignment="1">
      <alignment horizontal="left" vertical="center" wrapText="1"/>
    </xf>
    <xf numFmtId="165" fontId="35" fillId="0" borderId="1" xfId="1" applyFont="1" applyFill="1" applyBorder="1" applyAlignment="1">
      <alignment horizontal="center" vertical="center" wrapText="1"/>
    </xf>
    <xf numFmtId="165" fontId="35" fillId="0" borderId="1" xfId="0" applyNumberFormat="1" applyFont="1" applyBorder="1" applyAlignment="1">
      <alignment horizontal="right" vertical="center" shrinkToFit="1"/>
    </xf>
    <xf numFmtId="165" fontId="35" fillId="0" borderId="1" xfId="1" applyFont="1" applyFill="1" applyBorder="1" applyAlignment="1">
      <alignment horizontal="left" vertical="center" wrapText="1"/>
    </xf>
    <xf numFmtId="10" fontId="35" fillId="0" borderId="1" xfId="16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/>
    </xf>
    <xf numFmtId="0" fontId="36" fillId="0" borderId="1" xfId="0" applyFont="1" applyBorder="1" applyAlignment="1">
      <alignment horizontal="left" vertical="center" wrapText="1"/>
    </xf>
    <xf numFmtId="0" fontId="36" fillId="0" borderId="2" xfId="0" applyFont="1" applyBorder="1" applyAlignment="1">
      <alignment horizontal="right" vertical="center" wrapText="1"/>
    </xf>
    <xf numFmtId="0" fontId="36" fillId="0" borderId="4" xfId="0" applyFont="1" applyBorder="1" applyAlignment="1">
      <alignment horizontal="left" vertical="center" wrapText="1"/>
    </xf>
    <xf numFmtId="165" fontId="36" fillId="0" borderId="1" xfId="1" applyFont="1" applyFill="1" applyBorder="1" applyAlignment="1">
      <alignment horizontal="center" vertical="center" wrapText="1"/>
    </xf>
    <xf numFmtId="165" fontId="36" fillId="0" borderId="1" xfId="0" applyNumberFormat="1" applyFont="1" applyBorder="1" applyAlignment="1">
      <alignment horizontal="right" vertical="center" shrinkToFit="1"/>
    </xf>
    <xf numFmtId="165" fontId="36" fillId="0" borderId="1" xfId="1" applyFont="1" applyFill="1" applyBorder="1" applyAlignment="1">
      <alignment horizontal="left" vertical="center" wrapText="1"/>
    </xf>
    <xf numFmtId="10" fontId="36" fillId="0" borderId="1" xfId="16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left" vertical="center"/>
    </xf>
    <xf numFmtId="0" fontId="37" fillId="0" borderId="1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right" vertical="center" wrapText="1"/>
    </xf>
    <xf numFmtId="0" fontId="37" fillId="0" borderId="4" xfId="0" applyFont="1" applyBorder="1" applyAlignment="1">
      <alignment horizontal="left" vertical="center" wrapText="1"/>
    </xf>
    <xf numFmtId="165" fontId="37" fillId="0" borderId="1" xfId="1" applyFont="1" applyFill="1" applyBorder="1" applyAlignment="1">
      <alignment horizontal="center" vertical="center" wrapText="1"/>
    </xf>
    <xf numFmtId="165" fontId="37" fillId="0" borderId="1" xfId="0" applyNumberFormat="1" applyFont="1" applyBorder="1" applyAlignment="1">
      <alignment horizontal="right" vertical="center" shrinkToFit="1"/>
    </xf>
    <xf numFmtId="165" fontId="37" fillId="0" borderId="1" xfId="1" applyFont="1" applyFill="1" applyBorder="1" applyAlignment="1">
      <alignment horizontal="left" vertical="center" wrapText="1"/>
    </xf>
    <xf numFmtId="10" fontId="37" fillId="0" borderId="1" xfId="16" applyNumberFormat="1" applyFont="1" applyFill="1" applyBorder="1" applyAlignment="1">
      <alignment horizontal="center" vertical="center" wrapText="1"/>
    </xf>
    <xf numFmtId="0" fontId="37" fillId="0" borderId="1" xfId="0" quotePrefix="1" applyFont="1" applyBorder="1" applyAlignment="1">
      <alignment horizontal="left" vertical="center" wrapText="1"/>
    </xf>
    <xf numFmtId="0" fontId="37" fillId="0" borderId="1" xfId="0" quotePrefix="1" applyFont="1" applyBorder="1" applyAlignment="1">
      <alignment horizontal="left" vertical="center"/>
    </xf>
    <xf numFmtId="0" fontId="34" fillId="0" borderId="1" xfId="0" quotePrefix="1" applyFont="1" applyBorder="1" applyAlignment="1">
      <alignment horizontal="left" vertical="center"/>
    </xf>
    <xf numFmtId="167" fontId="34" fillId="0" borderId="1" xfId="14" applyFont="1" applyFill="1" applyBorder="1" applyAlignment="1">
      <alignment horizontal="right" vertical="center" shrinkToFit="1"/>
    </xf>
    <xf numFmtId="167" fontId="35" fillId="0" borderId="1" xfId="14" applyFont="1" applyFill="1" applyBorder="1" applyAlignment="1">
      <alignment horizontal="right" vertical="center" shrinkToFit="1"/>
    </xf>
    <xf numFmtId="167" fontId="36" fillId="0" borderId="1" xfId="14" applyFont="1" applyFill="1" applyBorder="1" applyAlignment="1">
      <alignment horizontal="right" vertical="center" shrinkToFit="1"/>
    </xf>
    <xf numFmtId="167" fontId="37" fillId="0" borderId="1" xfId="14" applyFont="1" applyFill="1" applyBorder="1" applyAlignment="1">
      <alignment horizontal="center" vertical="center" wrapText="1"/>
    </xf>
    <xf numFmtId="167" fontId="37" fillId="0" borderId="1" xfId="14" applyFont="1" applyFill="1" applyBorder="1" applyAlignment="1">
      <alignment horizontal="left" vertical="center" wrapText="1"/>
    </xf>
    <xf numFmtId="167" fontId="37" fillId="0" borderId="1" xfId="14" applyFont="1" applyFill="1" applyBorder="1" applyAlignment="1">
      <alignment horizontal="right" vertical="center" shrinkToFit="1"/>
    </xf>
    <xf numFmtId="0" fontId="36" fillId="0" borderId="1" xfId="0" quotePrefix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1" fontId="36" fillId="0" borderId="2" xfId="0" applyNumberFormat="1" applyFont="1" applyBorder="1" applyAlignment="1">
      <alignment horizontal="right" vertical="center" shrinkToFit="1"/>
    </xf>
    <xf numFmtId="0" fontId="39" fillId="0" borderId="4" xfId="0" applyFont="1" applyBorder="1" applyAlignment="1">
      <alignment horizontal="left" vertical="center" wrapText="1"/>
    </xf>
    <xf numFmtId="165" fontId="36" fillId="0" borderId="1" xfId="1" applyFont="1" applyFill="1" applyBorder="1" applyAlignment="1">
      <alignment horizontal="center" vertical="center" shrinkToFit="1"/>
    </xf>
    <xf numFmtId="0" fontId="35" fillId="0" borderId="1" xfId="0" quotePrefix="1" applyFont="1" applyBorder="1" applyAlignment="1">
      <alignment horizontal="left" vertical="center"/>
    </xf>
    <xf numFmtId="0" fontId="36" fillId="0" borderId="1" xfId="0" quotePrefix="1" applyFont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 wrapText="1"/>
    </xf>
    <xf numFmtId="1" fontId="35" fillId="0" borderId="2" xfId="0" applyNumberFormat="1" applyFont="1" applyBorder="1" applyAlignment="1">
      <alignment horizontal="right" vertical="center" shrinkToFit="1"/>
    </xf>
    <xf numFmtId="0" fontId="28" fillId="0" borderId="4" xfId="0" applyFont="1" applyBorder="1" applyAlignment="1">
      <alignment horizontal="left" vertical="center" wrapText="1"/>
    </xf>
    <xf numFmtId="165" fontId="35" fillId="0" borderId="1" xfId="1" applyFont="1" applyFill="1" applyBorder="1" applyAlignment="1">
      <alignment horizontal="center" vertical="center" shrinkToFit="1"/>
    </xf>
    <xf numFmtId="0" fontId="39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center" wrapText="1"/>
    </xf>
    <xf numFmtId="0" fontId="21" fillId="0" borderId="1" xfId="0" quotePrefix="1" applyFont="1" applyBorder="1" applyAlignment="1">
      <alignment horizontal="left" vertical="center" wrapText="1"/>
    </xf>
    <xf numFmtId="0" fontId="39" fillId="0" borderId="1" xfId="0" quotePrefix="1" applyFont="1" applyBorder="1" applyAlignment="1">
      <alignment horizontal="left" vertical="center" wrapText="1"/>
    </xf>
    <xf numFmtId="0" fontId="37" fillId="0" borderId="0" xfId="0" applyFont="1" applyAlignment="1">
      <alignment horizontal="left" vertical="top"/>
    </xf>
    <xf numFmtId="0" fontId="35" fillId="0" borderId="1" xfId="0" quotePrefix="1" applyFont="1" applyBorder="1" applyAlignment="1">
      <alignment horizontal="left" vertical="center" wrapText="1"/>
    </xf>
    <xf numFmtId="0" fontId="40" fillId="0" borderId="1" xfId="17" applyFill="1" applyBorder="1" applyAlignment="1">
      <alignment horizontal="left" vertical="center"/>
    </xf>
    <xf numFmtId="0" fontId="34" fillId="0" borderId="1" xfId="0" quotePrefix="1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/>
    </xf>
    <xf numFmtId="165" fontId="37" fillId="0" borderId="0" xfId="1" applyFont="1" applyFill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10" fontId="37" fillId="0" borderId="0" xfId="16" applyNumberFormat="1" applyFont="1" applyFill="1" applyBorder="1" applyAlignment="1">
      <alignment horizontal="left" vertical="center" wrapText="1"/>
    </xf>
    <xf numFmtId="165" fontId="37" fillId="0" borderId="0" xfId="0" applyNumberFormat="1" applyFont="1" applyAlignment="1">
      <alignment horizontal="left" vertical="center"/>
    </xf>
    <xf numFmtId="165" fontId="2" fillId="0" borderId="0" xfId="1" applyFont="1" applyFill="1" applyAlignment="1">
      <alignment vertical="center"/>
    </xf>
    <xf numFmtId="165" fontId="41" fillId="0" borderId="0" xfId="1" applyFont="1" applyFill="1" applyAlignment="1">
      <alignment vertical="center"/>
    </xf>
    <xf numFmtId="166" fontId="22" fillId="0" borderId="0" xfId="0" applyNumberFormat="1" applyFont="1"/>
    <xf numFmtId="166" fontId="22" fillId="0" borderId="0" xfId="0" applyNumberFormat="1" applyFont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 wrapText="1"/>
    </xf>
    <xf numFmtId="3" fontId="0" fillId="0" borderId="1" xfId="0" applyNumberFormat="1" applyBorder="1" applyAlignment="1">
      <alignment vertical="center" wrapText="1"/>
    </xf>
    <xf numFmtId="4" fontId="42" fillId="0" borderId="0" xfId="11" applyNumberFormat="1" applyFont="1" applyFill="1" applyBorder="1" applyAlignment="1">
      <alignment horizontal="center" vertical="center"/>
    </xf>
    <xf numFmtId="0" fontId="42" fillId="0" borderId="0" xfId="11" applyNumberFormat="1" applyFont="1" applyFill="1" applyBorder="1" applyAlignment="1">
      <alignment horizontal="left" vertical="center"/>
    </xf>
    <xf numFmtId="4" fontId="42" fillId="0" borderId="0" xfId="11" applyNumberFormat="1" applyFont="1" applyFill="1" applyBorder="1" applyAlignment="1">
      <alignment vertical="center"/>
    </xf>
    <xf numFmtId="39" fontId="42" fillId="0" borderId="0" xfId="11" applyNumberFormat="1" applyFont="1" applyFill="1" applyBorder="1" applyAlignment="1">
      <alignment vertical="center"/>
    </xf>
    <xf numFmtId="0" fontId="42" fillId="0" borderId="0" xfId="11" applyNumberFormat="1" applyFont="1" applyFill="1" applyBorder="1" applyAlignment="1">
      <alignment horizontal="center" vertical="center"/>
    </xf>
    <xf numFmtId="37" fontId="42" fillId="0" borderId="0" xfId="11" applyNumberFormat="1" applyFont="1" applyFill="1" applyBorder="1" applyAlignment="1">
      <alignment horizontal="center" vertical="center"/>
    </xf>
    <xf numFmtId="4" fontId="42" fillId="0" borderId="0" xfId="11" applyNumberFormat="1" applyFont="1" applyFill="1" applyAlignment="1">
      <alignment vertical="center"/>
    </xf>
    <xf numFmtId="4" fontId="42" fillId="0" borderId="1" xfId="11" applyNumberFormat="1" applyFont="1" applyFill="1" applyBorder="1" applyAlignment="1">
      <alignment vertical="center"/>
    </xf>
    <xf numFmtId="4" fontId="43" fillId="0" borderId="0" xfId="11" applyNumberFormat="1" applyFont="1" applyFill="1" applyBorder="1" applyAlignment="1">
      <alignment horizontal="center" vertical="center"/>
    </xf>
    <xf numFmtId="4" fontId="42" fillId="0" borderId="6" xfId="11" applyNumberFormat="1" applyFont="1" applyFill="1" applyBorder="1" applyAlignment="1">
      <alignment horizontal="center" vertical="center"/>
    </xf>
    <xf numFmtId="0" fontId="42" fillId="0" borderId="6" xfId="11" applyNumberFormat="1" applyFont="1" applyFill="1" applyBorder="1" applyAlignment="1">
      <alignment horizontal="left" vertical="center"/>
    </xf>
    <xf numFmtId="39" fontId="42" fillId="0" borderId="6" xfId="11" applyNumberFormat="1" applyFont="1" applyFill="1" applyBorder="1" applyAlignment="1">
      <alignment horizontal="center" vertical="center"/>
    </xf>
    <xf numFmtId="0" fontId="42" fillId="0" borderId="6" xfId="11" applyNumberFormat="1" applyFont="1" applyFill="1" applyBorder="1" applyAlignment="1">
      <alignment horizontal="center" vertical="center"/>
    </xf>
    <xf numFmtId="37" fontId="42" fillId="0" borderId="6" xfId="11" applyNumberFormat="1" applyFont="1" applyFill="1" applyBorder="1" applyAlignment="1">
      <alignment horizontal="center" vertical="center"/>
    </xf>
    <xf numFmtId="4" fontId="42" fillId="0" borderId="6" xfId="11" applyNumberFormat="1" applyFont="1" applyFill="1" applyBorder="1" applyAlignment="1">
      <alignment vertical="center"/>
    </xf>
    <xf numFmtId="4" fontId="43" fillId="0" borderId="25" xfId="11" applyNumberFormat="1" applyFont="1" applyFill="1" applyBorder="1" applyAlignment="1">
      <alignment horizontal="center" vertical="center" wrapText="1"/>
    </xf>
    <xf numFmtId="4" fontId="43" fillId="0" borderId="22" xfId="11" applyNumberFormat="1" applyFont="1" applyFill="1" applyBorder="1" applyAlignment="1">
      <alignment horizontal="center" vertical="center"/>
    </xf>
    <xf numFmtId="37" fontId="43" fillId="0" borderId="25" xfId="11" applyNumberFormat="1" applyFont="1" applyFill="1" applyBorder="1" applyAlignment="1">
      <alignment horizontal="center" vertical="center" wrapText="1"/>
    </xf>
    <xf numFmtId="39" fontId="43" fillId="0" borderId="25" xfId="11" applyNumberFormat="1" applyFont="1" applyFill="1" applyBorder="1" applyAlignment="1">
      <alignment horizontal="center" vertical="center"/>
    </xf>
    <xf numFmtId="49" fontId="42" fillId="0" borderId="36" xfId="11" quotePrefix="1" applyNumberFormat="1" applyFont="1" applyFill="1" applyBorder="1" applyAlignment="1">
      <alignment horizontal="center" vertical="center"/>
    </xf>
    <xf numFmtId="49" fontId="42" fillId="0" borderId="37" xfId="11" quotePrefix="1" applyNumberFormat="1" applyFont="1" applyFill="1" applyBorder="1" applyAlignment="1">
      <alignment horizontal="center" vertical="center"/>
    </xf>
    <xf numFmtId="49" fontId="42" fillId="0" borderId="37" xfId="11" applyNumberFormat="1" applyFont="1" applyFill="1" applyBorder="1" applyAlignment="1">
      <alignment vertical="center" wrapText="1"/>
    </xf>
    <xf numFmtId="49" fontId="42" fillId="0" borderId="38" xfId="11" quotePrefix="1" applyNumberFormat="1" applyFont="1" applyFill="1" applyBorder="1" applyAlignment="1">
      <alignment horizontal="center" vertical="center" wrapText="1"/>
    </xf>
    <xf numFmtId="49" fontId="42" fillId="0" borderId="38" xfId="11" applyNumberFormat="1" applyFont="1" applyFill="1" applyBorder="1" applyAlignment="1">
      <alignment horizontal="center" vertical="center" wrapText="1"/>
    </xf>
    <xf numFmtId="39" fontId="42" fillId="0" borderId="36" xfId="11" quotePrefix="1" applyNumberFormat="1" applyFont="1" applyFill="1" applyBorder="1" applyAlignment="1">
      <alignment horizontal="center" vertical="center" wrapText="1"/>
    </xf>
    <xf numFmtId="0" fontId="42" fillId="0" borderId="36" xfId="11" quotePrefix="1" applyNumberFormat="1" applyFont="1" applyFill="1" applyBorder="1" applyAlignment="1">
      <alignment horizontal="center" vertical="center"/>
    </xf>
    <xf numFmtId="37" fontId="42" fillId="0" borderId="36" xfId="11" quotePrefix="1" applyNumberFormat="1" applyFont="1" applyFill="1" applyBorder="1" applyAlignment="1">
      <alignment horizontal="center" vertical="center"/>
    </xf>
    <xf numFmtId="37" fontId="42" fillId="0" borderId="36" xfId="11" applyNumberFormat="1" applyFont="1" applyFill="1" applyBorder="1" applyAlignment="1">
      <alignment horizontal="center" vertical="center"/>
    </xf>
    <xf numFmtId="39" fontId="42" fillId="0" borderId="36" xfId="11" quotePrefix="1" applyNumberFormat="1" applyFont="1" applyFill="1" applyBorder="1" applyAlignment="1">
      <alignment horizontal="center" vertical="center"/>
    </xf>
    <xf numFmtId="37" fontId="42" fillId="0" borderId="36" xfId="11" quotePrefix="1" applyNumberFormat="1" applyFont="1" applyFill="1" applyBorder="1" applyAlignment="1">
      <alignment horizontal="center" vertical="center" wrapText="1"/>
    </xf>
    <xf numFmtId="49" fontId="42" fillId="0" borderId="0" xfId="11" applyNumberFormat="1" applyFont="1" applyFill="1" applyAlignment="1">
      <alignment vertical="center"/>
    </xf>
    <xf numFmtId="0" fontId="43" fillId="0" borderId="22" xfId="11" applyNumberFormat="1" applyFont="1" applyFill="1" applyBorder="1" applyAlignment="1">
      <alignment horizontal="center" vertical="center"/>
    </xf>
    <xf numFmtId="0" fontId="43" fillId="0" borderId="29" xfId="11" applyNumberFormat="1" applyFont="1" applyFill="1" applyBorder="1" applyAlignment="1">
      <alignment horizontal="center" vertical="center"/>
    </xf>
    <xf numFmtId="0" fontId="43" fillId="0" borderId="39" xfId="11" applyNumberFormat="1" applyFont="1" applyFill="1" applyBorder="1" applyAlignment="1">
      <alignment horizontal="left" vertical="center"/>
    </xf>
    <xf numFmtId="4" fontId="43" fillId="0" borderId="40" xfId="11" applyNumberFormat="1" applyFont="1" applyFill="1" applyBorder="1" applyAlignment="1">
      <alignment vertical="center"/>
    </xf>
    <xf numFmtId="4" fontId="43" fillId="0" borderId="30" xfId="11" applyNumberFormat="1" applyFont="1" applyFill="1" applyBorder="1" applyAlignment="1">
      <alignment horizontal="center" vertical="center"/>
    </xf>
    <xf numFmtId="39" fontId="43" fillId="0" borderId="22" xfId="11" applyNumberFormat="1" applyFont="1" applyFill="1" applyBorder="1" applyAlignment="1">
      <alignment vertical="center"/>
    </xf>
    <xf numFmtId="37" fontId="43" fillId="0" borderId="22" xfId="11" applyNumberFormat="1" applyFont="1" applyFill="1" applyBorder="1" applyAlignment="1">
      <alignment horizontal="center" vertical="center"/>
    </xf>
    <xf numFmtId="4" fontId="43" fillId="0" borderId="41" xfId="11" applyNumberFormat="1" applyFont="1" applyFill="1" applyBorder="1" applyAlignment="1">
      <alignment vertical="center"/>
    </xf>
    <xf numFmtId="4" fontId="43" fillId="0" borderId="0" xfId="11" applyNumberFormat="1" applyFont="1" applyFill="1" applyAlignment="1">
      <alignment vertical="center"/>
    </xf>
    <xf numFmtId="4" fontId="42" fillId="0" borderId="42" xfId="11" applyNumberFormat="1" applyFont="1" applyFill="1" applyBorder="1" applyAlignment="1">
      <alignment vertical="center"/>
    </xf>
    <xf numFmtId="4" fontId="42" fillId="0" borderId="43" xfId="11" applyNumberFormat="1" applyFont="1" applyFill="1" applyBorder="1" applyAlignment="1">
      <alignment vertical="center"/>
    </xf>
    <xf numFmtId="0" fontId="42" fillId="0" borderId="43" xfId="11" applyNumberFormat="1" applyFont="1" applyFill="1" applyBorder="1" applyAlignment="1">
      <alignment horizontal="left" vertical="center"/>
    </xf>
    <xf numFmtId="4" fontId="42" fillId="0" borderId="44" xfId="11" applyNumberFormat="1" applyFont="1" applyFill="1" applyBorder="1" applyAlignment="1">
      <alignment vertical="center"/>
    </xf>
    <xf numFmtId="4" fontId="42" fillId="0" borderId="44" xfId="11" applyNumberFormat="1" applyFont="1" applyFill="1" applyBorder="1" applyAlignment="1">
      <alignment horizontal="center" vertical="center"/>
    </xf>
    <xf numFmtId="39" fontId="42" fillId="0" borderId="42" xfId="11" applyNumberFormat="1" applyFont="1" applyFill="1" applyBorder="1" applyAlignment="1">
      <alignment vertical="center"/>
    </xf>
    <xf numFmtId="0" fontId="42" fillId="0" borderId="42" xfId="11" applyNumberFormat="1" applyFont="1" applyFill="1" applyBorder="1" applyAlignment="1">
      <alignment horizontal="center" vertical="center"/>
    </xf>
    <xf numFmtId="37" fontId="42" fillId="0" borderId="42" xfId="11" applyNumberFormat="1" applyFont="1" applyFill="1" applyBorder="1" applyAlignment="1">
      <alignment horizontal="center" vertical="center"/>
    </xf>
    <xf numFmtId="39" fontId="42" fillId="0" borderId="42" xfId="11" applyNumberFormat="1" applyFont="1" applyFill="1" applyBorder="1" applyAlignment="1">
      <alignment horizontal="center" vertical="center"/>
    </xf>
    <xf numFmtId="0" fontId="42" fillId="0" borderId="45" xfId="11" applyNumberFormat="1" applyFont="1" applyFill="1" applyBorder="1" applyAlignment="1">
      <alignment horizontal="center" vertical="center"/>
    </xf>
    <xf numFmtId="0" fontId="42" fillId="0" borderId="46" xfId="11" applyNumberFormat="1" applyFont="1" applyFill="1" applyBorder="1" applyAlignment="1">
      <alignment horizontal="center" vertical="center"/>
    </xf>
    <xf numFmtId="0" fontId="42" fillId="0" borderId="46" xfId="11" applyNumberFormat="1" applyFont="1" applyFill="1" applyBorder="1" applyAlignment="1">
      <alignment horizontal="left" vertical="center"/>
    </xf>
    <xf numFmtId="4" fontId="42" fillId="0" borderId="47" xfId="11" applyNumberFormat="1" applyFont="1" applyFill="1" applyBorder="1" applyAlignment="1">
      <alignment vertical="center"/>
    </xf>
    <xf numFmtId="4" fontId="42" fillId="0" borderId="47" xfId="11" applyNumberFormat="1" applyFont="1" applyFill="1" applyBorder="1" applyAlignment="1">
      <alignment horizontal="center" vertical="center"/>
    </xf>
    <xf numFmtId="165" fontId="42" fillId="0" borderId="45" xfId="11" applyNumberFormat="1" applyFont="1" applyFill="1" applyBorder="1" applyAlignment="1">
      <alignment vertical="center"/>
    </xf>
    <xf numFmtId="43" fontId="42" fillId="0" borderId="45" xfId="11" applyFont="1" applyFill="1" applyBorder="1" applyAlignment="1">
      <alignment horizontal="center" vertical="center"/>
    </xf>
    <xf numFmtId="37" fontId="42" fillId="0" borderId="45" xfId="11" applyNumberFormat="1" applyFont="1" applyFill="1" applyBorder="1" applyAlignment="1">
      <alignment horizontal="center" vertical="center"/>
    </xf>
    <xf numFmtId="39" fontId="42" fillId="0" borderId="45" xfId="11" applyNumberFormat="1" applyFont="1" applyFill="1" applyBorder="1" applyAlignment="1">
      <alignment vertical="center"/>
    </xf>
    <xf numFmtId="4" fontId="42" fillId="0" borderId="45" xfId="11" applyNumberFormat="1" applyFont="1" applyFill="1" applyBorder="1" applyAlignment="1">
      <alignment horizontal="center" vertical="center"/>
    </xf>
    <xf numFmtId="4" fontId="42" fillId="0" borderId="45" xfId="11" applyNumberFormat="1" applyFont="1" applyFill="1" applyBorder="1" applyAlignment="1">
      <alignment vertical="center"/>
    </xf>
    <xf numFmtId="0" fontId="43" fillId="0" borderId="1" xfId="11" applyNumberFormat="1" applyFont="1" applyFill="1" applyBorder="1" applyAlignment="1">
      <alignment horizontal="center" vertical="center"/>
    </xf>
    <xf numFmtId="0" fontId="43" fillId="0" borderId="2" xfId="11" applyNumberFormat="1" applyFont="1" applyFill="1" applyBorder="1" applyAlignment="1">
      <alignment horizontal="center" vertical="center"/>
    </xf>
    <xf numFmtId="0" fontId="43" fillId="0" borderId="2" xfId="11" applyNumberFormat="1" applyFont="1" applyFill="1" applyBorder="1" applyAlignment="1">
      <alignment horizontal="left" vertical="center"/>
    </xf>
    <xf numFmtId="4" fontId="43" fillId="0" borderId="4" xfId="11" applyNumberFormat="1" applyFont="1" applyFill="1" applyBorder="1" applyAlignment="1">
      <alignment vertical="center"/>
    </xf>
    <xf numFmtId="4" fontId="43" fillId="0" borderId="4" xfId="11" applyNumberFormat="1" applyFont="1" applyFill="1" applyBorder="1" applyAlignment="1">
      <alignment horizontal="center" vertical="center"/>
    </xf>
    <xf numFmtId="37" fontId="43" fillId="0" borderId="1" xfId="11" applyNumberFormat="1" applyFont="1" applyFill="1" applyBorder="1" applyAlignment="1">
      <alignment vertical="center"/>
    </xf>
    <xf numFmtId="37" fontId="43" fillId="0" borderId="1" xfId="11" applyNumberFormat="1" applyFont="1" applyFill="1" applyBorder="1" applyAlignment="1">
      <alignment horizontal="center" vertical="center"/>
    </xf>
    <xf numFmtId="39" fontId="43" fillId="0" borderId="1" xfId="11" applyNumberFormat="1" applyFont="1" applyFill="1" applyBorder="1" applyAlignment="1">
      <alignment vertical="center"/>
    </xf>
    <xf numFmtId="49" fontId="42" fillId="0" borderId="43" xfId="11" applyNumberFormat="1" applyFont="1" applyFill="1" applyBorder="1" applyAlignment="1">
      <alignment vertical="center"/>
    </xf>
    <xf numFmtId="0" fontId="42" fillId="0" borderId="44" xfId="11" applyNumberFormat="1" applyFont="1" applyFill="1" applyBorder="1" applyAlignment="1">
      <alignment vertical="center" wrapText="1"/>
    </xf>
    <xf numFmtId="0" fontId="42" fillId="0" borderId="44" xfId="11" applyNumberFormat="1" applyFont="1" applyFill="1" applyBorder="1" applyAlignment="1">
      <alignment horizontal="center" vertical="center"/>
    </xf>
    <xf numFmtId="165" fontId="42" fillId="0" borderId="44" xfId="11" applyNumberFormat="1" applyFont="1" applyFill="1" applyBorder="1" applyAlignment="1">
      <alignment horizontal="center" vertical="center"/>
    </xf>
    <xf numFmtId="165" fontId="42" fillId="0" borderId="42" xfId="11" applyNumberFormat="1" applyFont="1" applyFill="1" applyBorder="1" applyAlignment="1">
      <alignment vertical="center"/>
    </xf>
    <xf numFmtId="41" fontId="42" fillId="0" borderId="48" xfId="12" applyFont="1" applyFill="1" applyBorder="1" applyAlignment="1">
      <alignment horizontal="center" vertical="center"/>
    </xf>
    <xf numFmtId="41" fontId="42" fillId="0" borderId="42" xfId="12" applyFont="1" applyFill="1" applyBorder="1" applyAlignment="1">
      <alignment vertical="center"/>
    </xf>
    <xf numFmtId="41" fontId="42" fillId="0" borderId="42" xfId="12" applyFont="1" applyFill="1" applyBorder="1" applyAlignment="1">
      <alignment horizontal="center" vertical="center"/>
    </xf>
    <xf numFmtId="37" fontId="42" fillId="0" borderId="42" xfId="11" applyNumberFormat="1" applyFont="1" applyFill="1" applyBorder="1" applyAlignment="1">
      <alignment vertical="center"/>
    </xf>
    <xf numFmtId="39" fontId="42" fillId="0" borderId="42" xfId="11" applyNumberFormat="1" applyFont="1" applyFill="1" applyBorder="1" applyAlignment="1">
      <alignment vertical="center" wrapText="1"/>
    </xf>
    <xf numFmtId="4" fontId="42" fillId="0" borderId="48" xfId="11" applyNumberFormat="1" applyFont="1" applyFill="1" applyBorder="1" applyAlignment="1">
      <alignment vertical="center"/>
    </xf>
    <xf numFmtId="49" fontId="42" fillId="0" borderId="49" xfId="11" applyNumberFormat="1" applyFont="1" applyFill="1" applyBorder="1" applyAlignment="1">
      <alignment vertical="center"/>
    </xf>
    <xf numFmtId="0" fontId="42" fillId="0" borderId="49" xfId="11" applyNumberFormat="1" applyFont="1" applyFill="1" applyBorder="1" applyAlignment="1">
      <alignment horizontal="left" vertical="center"/>
    </xf>
    <xf numFmtId="0" fontId="42" fillId="0" borderId="50" xfId="11" applyNumberFormat="1" applyFont="1" applyFill="1" applyBorder="1" applyAlignment="1">
      <alignment vertical="center" wrapText="1"/>
    </xf>
    <xf numFmtId="0" fontId="42" fillId="0" borderId="50" xfId="11" applyNumberFormat="1" applyFont="1" applyFill="1" applyBorder="1" applyAlignment="1">
      <alignment horizontal="center" vertical="center"/>
    </xf>
    <xf numFmtId="165" fontId="42" fillId="0" borderId="50" xfId="11" applyNumberFormat="1" applyFont="1" applyFill="1" applyBorder="1" applyAlignment="1">
      <alignment horizontal="center" vertical="center"/>
    </xf>
    <xf numFmtId="165" fontId="42" fillId="0" borderId="51" xfId="11" applyNumberFormat="1" applyFont="1" applyFill="1" applyBorder="1" applyAlignment="1">
      <alignment vertical="center"/>
    </xf>
    <xf numFmtId="0" fontId="42" fillId="0" borderId="48" xfId="11" applyNumberFormat="1" applyFont="1" applyFill="1" applyBorder="1" applyAlignment="1">
      <alignment horizontal="center" vertical="center"/>
    </xf>
    <xf numFmtId="41" fontId="42" fillId="0" borderId="51" xfId="12" applyFont="1" applyFill="1" applyBorder="1" applyAlignment="1">
      <alignment vertical="center"/>
    </xf>
    <xf numFmtId="37" fontId="42" fillId="0" borderId="51" xfId="11" applyNumberFormat="1" applyFont="1" applyFill="1" applyBorder="1" applyAlignment="1">
      <alignment horizontal="center" vertical="center"/>
    </xf>
    <xf numFmtId="37" fontId="42" fillId="0" borderId="48" xfId="11" applyNumberFormat="1" applyFont="1" applyFill="1" applyBorder="1" applyAlignment="1">
      <alignment vertical="center"/>
    </xf>
    <xf numFmtId="37" fontId="42" fillId="0" borderId="48" xfId="11" applyNumberFormat="1" applyFont="1" applyFill="1" applyBorder="1" applyAlignment="1">
      <alignment horizontal="center" vertical="center"/>
    </xf>
    <xf numFmtId="39" fontId="42" fillId="0" borderId="48" xfId="11" applyNumberFormat="1" applyFont="1" applyFill="1" applyBorder="1" applyAlignment="1">
      <alignment vertical="center" wrapText="1"/>
    </xf>
    <xf numFmtId="168" fontId="42" fillId="0" borderId="48" xfId="12" applyNumberFormat="1" applyFont="1" applyFill="1" applyBorder="1" applyAlignment="1">
      <alignment horizontal="center" vertical="center"/>
    </xf>
    <xf numFmtId="170" fontId="42" fillId="0" borderId="51" xfId="12" applyNumberFormat="1" applyFont="1" applyFill="1" applyBorder="1" applyAlignment="1">
      <alignment vertical="center"/>
    </xf>
    <xf numFmtId="170" fontId="42" fillId="0" borderId="48" xfId="12" applyNumberFormat="1" applyFont="1" applyFill="1" applyBorder="1" applyAlignment="1">
      <alignment horizontal="center" vertical="center"/>
    </xf>
    <xf numFmtId="41" fontId="42" fillId="0" borderId="50" xfId="12" applyFont="1" applyFill="1" applyBorder="1" applyAlignment="1">
      <alignment horizontal="center" vertical="center"/>
    </xf>
    <xf numFmtId="41" fontId="42" fillId="0" borderId="50" xfId="11" applyNumberFormat="1" applyFont="1" applyFill="1" applyBorder="1" applyAlignment="1">
      <alignment horizontal="center" vertical="center"/>
    </xf>
    <xf numFmtId="1" fontId="42" fillId="0" borderId="49" xfId="11" applyNumberFormat="1" applyFont="1" applyFill="1" applyBorder="1" applyAlignment="1">
      <alignment vertical="center"/>
    </xf>
    <xf numFmtId="165" fontId="42" fillId="0" borderId="48" xfId="11" applyNumberFormat="1" applyFont="1" applyFill="1" applyBorder="1" applyAlignment="1">
      <alignment vertical="center"/>
    </xf>
    <xf numFmtId="170" fontId="42" fillId="0" borderId="48" xfId="12" applyNumberFormat="1" applyFont="1" applyFill="1" applyBorder="1" applyAlignment="1">
      <alignment vertical="center"/>
    </xf>
    <xf numFmtId="14" fontId="42" fillId="0" borderId="48" xfId="11" applyNumberFormat="1" applyFont="1" applyFill="1" applyBorder="1" applyAlignment="1">
      <alignment horizontal="center" vertical="center"/>
    </xf>
    <xf numFmtId="4" fontId="42" fillId="0" borderId="52" xfId="11" applyNumberFormat="1" applyFont="1" applyFill="1" applyBorder="1" applyAlignment="1">
      <alignment vertical="center"/>
    </xf>
    <xf numFmtId="49" fontId="42" fillId="0" borderId="53" xfId="11" applyNumberFormat="1" applyFont="1" applyFill="1" applyBorder="1" applyAlignment="1">
      <alignment vertical="center"/>
    </xf>
    <xf numFmtId="0" fontId="42" fillId="0" borderId="54" xfId="11" applyNumberFormat="1" applyFont="1" applyFill="1" applyBorder="1" applyAlignment="1">
      <alignment vertical="center" wrapText="1"/>
    </xf>
    <xf numFmtId="41" fontId="42" fillId="0" borderId="54" xfId="12" applyFont="1" applyFill="1" applyBorder="1" applyAlignment="1">
      <alignment horizontal="center" vertical="center"/>
    </xf>
    <xf numFmtId="37" fontId="42" fillId="0" borderId="52" xfId="11" applyNumberFormat="1" applyFont="1" applyFill="1" applyBorder="1" applyAlignment="1">
      <alignment vertical="center"/>
    </xf>
    <xf numFmtId="37" fontId="42" fillId="0" borderId="52" xfId="11" applyNumberFormat="1" applyFont="1" applyFill="1" applyBorder="1" applyAlignment="1">
      <alignment horizontal="center" vertical="center"/>
    </xf>
    <xf numFmtId="39" fontId="42" fillId="0" borderId="52" xfId="11" applyNumberFormat="1" applyFont="1" applyFill="1" applyBorder="1" applyAlignment="1">
      <alignment vertical="center" wrapText="1"/>
    </xf>
    <xf numFmtId="1" fontId="42" fillId="0" borderId="53" xfId="11" applyNumberFormat="1" applyFont="1" applyFill="1" applyBorder="1" applyAlignment="1">
      <alignment vertical="center"/>
    </xf>
    <xf numFmtId="165" fontId="42" fillId="0" borderId="54" xfId="3" applyFont="1" applyFill="1" applyBorder="1" applyAlignment="1">
      <alignment horizontal="center" vertical="center"/>
    </xf>
    <xf numFmtId="170" fontId="42" fillId="0" borderId="52" xfId="12" applyNumberFormat="1" applyFont="1" applyFill="1" applyBorder="1" applyAlignment="1">
      <alignment vertical="center"/>
    </xf>
    <xf numFmtId="165" fontId="42" fillId="0" borderId="50" xfId="3" applyFont="1" applyFill="1" applyBorder="1" applyAlignment="1">
      <alignment horizontal="center" vertical="center"/>
    </xf>
    <xf numFmtId="41" fontId="42" fillId="0" borderId="48" xfId="11" applyNumberFormat="1" applyFont="1" applyFill="1" applyBorder="1" applyAlignment="1">
      <alignment vertical="center"/>
    </xf>
    <xf numFmtId="41" fontId="42" fillId="0" borderId="51" xfId="11" applyNumberFormat="1" applyFont="1" applyFill="1" applyBorder="1" applyAlignment="1">
      <alignment horizontal="center" vertical="center"/>
    </xf>
    <xf numFmtId="41" fontId="42" fillId="0" borderId="51" xfId="11" applyNumberFormat="1" applyFont="1" applyFill="1" applyBorder="1" applyAlignment="1">
      <alignment vertical="center"/>
    </xf>
    <xf numFmtId="37" fontId="42" fillId="0" borderId="51" xfId="11" applyNumberFormat="1" applyFont="1" applyFill="1" applyBorder="1" applyAlignment="1">
      <alignment vertical="center"/>
    </xf>
    <xf numFmtId="49" fontId="42" fillId="0" borderId="48" xfId="11" applyNumberFormat="1" applyFont="1" applyFill="1" applyBorder="1" applyAlignment="1">
      <alignment vertical="center"/>
    </xf>
    <xf numFmtId="41" fontId="42" fillId="0" borderId="48" xfId="12" applyFont="1" applyFill="1" applyBorder="1" applyAlignment="1">
      <alignment vertical="center"/>
    </xf>
    <xf numFmtId="37" fontId="42" fillId="0" borderId="48" xfId="11" applyNumberFormat="1" applyFont="1" applyFill="1" applyBorder="1" applyAlignment="1">
      <alignment horizontal="right" vertical="center"/>
    </xf>
    <xf numFmtId="49" fontId="42" fillId="0" borderId="50" xfId="11" applyNumberFormat="1" applyFont="1" applyFill="1" applyBorder="1" applyAlignment="1">
      <alignment vertical="center" wrapText="1"/>
    </xf>
    <xf numFmtId="41" fontId="42" fillId="0" borderId="45" xfId="12" applyFont="1" applyFill="1" applyBorder="1" applyAlignment="1">
      <alignment horizontal="center" vertical="center"/>
    </xf>
    <xf numFmtId="41" fontId="42" fillId="0" borderId="45" xfId="12" applyFont="1" applyFill="1" applyBorder="1" applyAlignment="1">
      <alignment vertical="center"/>
    </xf>
    <xf numFmtId="37" fontId="42" fillId="0" borderId="45" xfId="11" applyNumberFormat="1" applyFont="1" applyFill="1" applyBorder="1" applyAlignment="1">
      <alignment vertical="center"/>
    </xf>
    <xf numFmtId="41" fontId="43" fillId="0" borderId="4" xfId="12" applyFont="1" applyFill="1" applyBorder="1" applyAlignment="1">
      <alignment horizontal="center" vertical="center"/>
    </xf>
    <xf numFmtId="3" fontId="43" fillId="0" borderId="4" xfId="11" applyNumberFormat="1" applyFont="1" applyFill="1" applyBorder="1" applyAlignment="1">
      <alignment horizontal="right" vertical="center"/>
    </xf>
    <xf numFmtId="3" fontId="43" fillId="0" borderId="1" xfId="11" applyNumberFormat="1" applyFont="1" applyFill="1" applyBorder="1" applyAlignment="1">
      <alignment horizontal="right" vertical="center"/>
    </xf>
    <xf numFmtId="37" fontId="43" fillId="0" borderId="1" xfId="11" applyNumberFormat="1" applyFont="1" applyFill="1" applyBorder="1" applyAlignment="1">
      <alignment horizontal="right" vertical="center"/>
    </xf>
    <xf numFmtId="3" fontId="42" fillId="0" borderId="50" xfId="11" applyNumberFormat="1" applyFont="1" applyFill="1" applyBorder="1" applyAlignment="1">
      <alignment horizontal="right" vertical="center"/>
    </xf>
    <xf numFmtId="3" fontId="42" fillId="0" borderId="51" xfId="11" applyNumberFormat="1" applyFont="1" applyFill="1" applyBorder="1" applyAlignment="1">
      <alignment horizontal="right" vertical="center"/>
    </xf>
    <xf numFmtId="3" fontId="42" fillId="0" borderId="48" xfId="11" applyNumberFormat="1" applyFont="1" applyFill="1" applyBorder="1" applyAlignment="1">
      <alignment horizontal="right" vertical="center"/>
    </xf>
    <xf numFmtId="165" fontId="42" fillId="0" borderId="48" xfId="9" applyFont="1" applyFill="1" applyBorder="1" applyAlignment="1">
      <alignment horizontal="center" vertical="center"/>
    </xf>
    <xf numFmtId="37" fontId="44" fillId="0" borderId="51" xfId="11" applyNumberFormat="1" applyFont="1" applyFill="1" applyBorder="1" applyAlignment="1">
      <alignment horizontal="center" vertical="center"/>
    </xf>
    <xf numFmtId="3" fontId="42" fillId="0" borderId="50" xfId="9" applyNumberFormat="1" applyFont="1" applyFill="1" applyBorder="1" applyAlignment="1">
      <alignment horizontal="right" vertical="center"/>
    </xf>
    <xf numFmtId="0" fontId="42" fillId="0" borderId="49" xfId="11" applyNumberFormat="1" applyFont="1" applyFill="1" applyBorder="1" applyAlignment="1">
      <alignment vertical="center"/>
    </xf>
    <xf numFmtId="3" fontId="42" fillId="0" borderId="48" xfId="9" applyNumberFormat="1" applyFont="1" applyFill="1" applyBorder="1" applyAlignment="1">
      <alignment horizontal="right" vertical="center"/>
    </xf>
    <xf numFmtId="168" fontId="42" fillId="0" borderId="48" xfId="9" applyNumberFormat="1" applyFont="1" applyFill="1" applyBorder="1" applyAlignment="1">
      <alignment horizontal="center" vertical="center"/>
    </xf>
    <xf numFmtId="165" fontId="42" fillId="0" borderId="50" xfId="12" applyNumberFormat="1" applyFont="1" applyFill="1" applyBorder="1" applyAlignment="1">
      <alignment horizontal="center" vertical="center"/>
    </xf>
    <xf numFmtId="165" fontId="42" fillId="0" borderId="48" xfId="3" applyFont="1" applyFill="1" applyBorder="1" applyAlignment="1">
      <alignment horizontal="center" vertical="center"/>
    </xf>
    <xf numFmtId="165" fontId="42" fillId="0" borderId="48" xfId="3" applyFont="1" applyFill="1" applyBorder="1" applyAlignment="1">
      <alignment vertical="center"/>
    </xf>
    <xf numFmtId="0" fontId="42" fillId="0" borderId="50" xfId="11" applyNumberFormat="1" applyFont="1" applyFill="1" applyBorder="1" applyAlignment="1">
      <alignment vertical="center"/>
    </xf>
    <xf numFmtId="39" fontId="42" fillId="0" borderId="48" xfId="11" applyNumberFormat="1" applyFont="1" applyFill="1" applyBorder="1" applyAlignment="1">
      <alignment vertical="center"/>
    </xf>
    <xf numFmtId="0" fontId="42" fillId="0" borderId="43" xfId="11" applyNumberFormat="1" applyFont="1" applyFill="1" applyBorder="1" applyAlignment="1">
      <alignment vertical="center"/>
    </xf>
    <xf numFmtId="41" fontId="42" fillId="0" borderId="44" xfId="12" applyFont="1" applyFill="1" applyBorder="1" applyAlignment="1">
      <alignment horizontal="center" vertical="center"/>
    </xf>
    <xf numFmtId="41" fontId="42" fillId="0" borderId="42" xfId="11" applyNumberFormat="1" applyFont="1" applyFill="1" applyBorder="1" applyAlignment="1">
      <alignment horizontal="center" vertical="center"/>
    </xf>
    <xf numFmtId="41" fontId="42" fillId="0" borderId="42" xfId="11" applyNumberFormat="1" applyFont="1" applyFill="1" applyBorder="1" applyAlignment="1">
      <alignment vertical="center"/>
    </xf>
    <xf numFmtId="43" fontId="42" fillId="0" borderId="50" xfId="11" applyFont="1" applyFill="1" applyBorder="1" applyAlignment="1">
      <alignment horizontal="center" vertical="center"/>
    </xf>
    <xf numFmtId="43" fontId="42" fillId="0" borderId="51" xfId="11" applyFont="1" applyFill="1" applyBorder="1" applyAlignment="1">
      <alignment horizontal="center" vertical="center"/>
    </xf>
    <xf numFmtId="165" fontId="42" fillId="0" borderId="48" xfId="11" applyNumberFormat="1" applyFont="1" applyFill="1" applyBorder="1" applyAlignment="1">
      <alignment vertical="center" wrapText="1"/>
    </xf>
    <xf numFmtId="168" fontId="42" fillId="0" borderId="50" xfId="11" applyNumberFormat="1" applyFont="1" applyFill="1" applyBorder="1" applyAlignment="1">
      <alignment horizontal="center" vertical="center"/>
    </xf>
    <xf numFmtId="0" fontId="42" fillId="0" borderId="49" xfId="11" applyNumberFormat="1" applyFont="1" applyFill="1" applyBorder="1" applyAlignment="1">
      <alignment horizontal="center" vertical="center"/>
    </xf>
    <xf numFmtId="168" fontId="42" fillId="0" borderId="51" xfId="11" applyNumberFormat="1" applyFont="1" applyFill="1" applyBorder="1" applyAlignment="1">
      <alignment horizontal="center" vertical="center"/>
    </xf>
    <xf numFmtId="0" fontId="42" fillId="0" borderId="48" xfId="11" applyNumberFormat="1" applyFont="1" applyFill="1" applyBorder="1" applyAlignment="1">
      <alignment vertical="center" wrapText="1"/>
    </xf>
    <xf numFmtId="39" fontId="42" fillId="0" borderId="51" xfId="11" applyNumberFormat="1" applyFont="1" applyFill="1" applyBorder="1" applyAlignment="1">
      <alignment vertical="center"/>
    </xf>
    <xf numFmtId="165" fontId="42" fillId="0" borderId="51" xfId="11" applyNumberFormat="1" applyFont="1" applyFill="1" applyBorder="1" applyAlignment="1">
      <alignment horizontal="center" vertical="center"/>
    </xf>
    <xf numFmtId="0" fontId="42" fillId="0" borderId="46" xfId="11" applyNumberFormat="1" applyFont="1" applyFill="1" applyBorder="1" applyAlignment="1">
      <alignment vertical="center"/>
    </xf>
    <xf numFmtId="41" fontId="42" fillId="0" borderId="47" xfId="12" applyFont="1" applyFill="1" applyBorder="1" applyAlignment="1">
      <alignment horizontal="center" vertical="center"/>
    </xf>
    <xf numFmtId="165" fontId="42" fillId="0" borderId="45" xfId="3" applyFont="1" applyFill="1" applyBorder="1" applyAlignment="1">
      <alignment horizontal="center" vertical="center"/>
    </xf>
    <xf numFmtId="41" fontId="42" fillId="0" borderId="45" xfId="3" applyNumberFormat="1" applyFont="1" applyFill="1" applyBorder="1" applyAlignment="1">
      <alignment vertical="center"/>
    </xf>
    <xf numFmtId="165" fontId="42" fillId="0" borderId="45" xfId="3" applyFont="1" applyFill="1" applyBorder="1" applyAlignment="1">
      <alignment vertical="center"/>
    </xf>
    <xf numFmtId="37" fontId="42" fillId="0" borderId="45" xfId="3" applyNumberFormat="1" applyFont="1" applyFill="1" applyBorder="1" applyAlignment="1">
      <alignment vertical="center"/>
    </xf>
    <xf numFmtId="37" fontId="42" fillId="0" borderId="45" xfId="3" applyNumberFormat="1" applyFont="1" applyFill="1" applyBorder="1" applyAlignment="1">
      <alignment horizontal="center" vertical="center"/>
    </xf>
    <xf numFmtId="0" fontId="43" fillId="0" borderId="1" xfId="11" applyNumberFormat="1" applyFont="1" applyFill="1" applyBorder="1" applyAlignment="1">
      <alignment horizontal="right" vertical="center"/>
    </xf>
    <xf numFmtId="165" fontId="42" fillId="0" borderId="44" xfId="13" applyFont="1" applyFill="1" applyBorder="1" applyAlignment="1">
      <alignment horizontal="center" vertical="center"/>
    </xf>
    <xf numFmtId="37" fontId="42" fillId="0" borderId="42" xfId="13" applyNumberFormat="1" applyFont="1" applyFill="1" applyBorder="1" applyAlignment="1">
      <alignment vertical="center"/>
    </xf>
    <xf numFmtId="165" fontId="42" fillId="0" borderId="42" xfId="3" applyFont="1" applyFill="1" applyBorder="1" applyAlignment="1">
      <alignment horizontal="center" vertical="center"/>
    </xf>
    <xf numFmtId="165" fontId="42" fillId="0" borderId="42" xfId="3" applyFont="1" applyFill="1" applyBorder="1" applyAlignment="1">
      <alignment vertical="center"/>
    </xf>
    <xf numFmtId="37" fontId="42" fillId="0" borderId="42" xfId="3" applyNumberFormat="1" applyFont="1" applyFill="1" applyBorder="1" applyAlignment="1">
      <alignment vertical="center"/>
    </xf>
    <xf numFmtId="4" fontId="42" fillId="0" borderId="51" xfId="11" applyNumberFormat="1" applyFont="1" applyFill="1" applyBorder="1" applyAlignment="1">
      <alignment vertical="center"/>
    </xf>
    <xf numFmtId="49" fontId="42" fillId="0" borderId="55" xfId="11" applyNumberFormat="1" applyFont="1" applyFill="1" applyBorder="1" applyAlignment="1">
      <alignment vertical="center"/>
    </xf>
    <xf numFmtId="0" fontId="42" fillId="0" borderId="55" xfId="11" applyNumberFormat="1" applyFont="1" applyFill="1" applyBorder="1" applyAlignment="1">
      <alignment horizontal="left" vertical="center"/>
    </xf>
    <xf numFmtId="0" fontId="42" fillId="0" borderId="56" xfId="11" applyNumberFormat="1" applyFont="1" applyFill="1" applyBorder="1" applyAlignment="1">
      <alignment vertical="center" wrapText="1"/>
    </xf>
    <xf numFmtId="165" fontId="42" fillId="0" borderId="56" xfId="13" applyFont="1" applyFill="1" applyBorder="1" applyAlignment="1">
      <alignment horizontal="center" vertical="center"/>
    </xf>
    <xf numFmtId="37" fontId="42" fillId="0" borderId="51" xfId="13" applyNumberFormat="1" applyFont="1" applyFill="1" applyBorder="1" applyAlignment="1">
      <alignment vertical="center"/>
    </xf>
    <xf numFmtId="0" fontId="42" fillId="0" borderId="51" xfId="11" applyNumberFormat="1" applyFont="1" applyFill="1" applyBorder="1" applyAlignment="1">
      <alignment horizontal="center" vertical="center"/>
    </xf>
    <xf numFmtId="165" fontId="42" fillId="0" borderId="51" xfId="3" applyFont="1" applyFill="1" applyBorder="1" applyAlignment="1">
      <alignment horizontal="center" vertical="center"/>
    </xf>
    <xf numFmtId="165" fontId="42" fillId="0" borderId="51" xfId="3" applyFont="1" applyFill="1" applyBorder="1" applyAlignment="1">
      <alignment vertical="center"/>
    </xf>
    <xf numFmtId="37" fontId="42" fillId="0" borderId="51" xfId="3" applyNumberFormat="1" applyFont="1" applyFill="1" applyBorder="1" applyAlignment="1">
      <alignment vertical="center"/>
    </xf>
    <xf numFmtId="39" fontId="42" fillId="0" borderId="51" xfId="11" applyNumberFormat="1" applyFont="1" applyFill="1" applyBorder="1" applyAlignment="1">
      <alignment vertical="center" wrapText="1"/>
    </xf>
    <xf numFmtId="4" fontId="42" fillId="0" borderId="49" xfId="11" applyNumberFormat="1" applyFont="1" applyFill="1" applyBorder="1" applyAlignment="1">
      <alignment vertical="center"/>
    </xf>
    <xf numFmtId="4" fontId="42" fillId="0" borderId="50" xfId="11" applyNumberFormat="1" applyFont="1" applyFill="1" applyBorder="1" applyAlignment="1">
      <alignment vertical="center"/>
    </xf>
    <xf numFmtId="4" fontId="42" fillId="0" borderId="57" xfId="11" applyNumberFormat="1" applyFont="1" applyFill="1" applyBorder="1" applyAlignment="1">
      <alignment vertical="center"/>
    </xf>
    <xf numFmtId="4" fontId="42" fillId="0" borderId="58" xfId="11" applyNumberFormat="1" applyFont="1" applyFill="1" applyBorder="1" applyAlignment="1">
      <alignment vertical="center"/>
    </xf>
    <xf numFmtId="0" fontId="42" fillId="0" borderId="58" xfId="11" applyNumberFormat="1" applyFont="1" applyFill="1" applyBorder="1" applyAlignment="1">
      <alignment horizontal="left" vertical="center"/>
    </xf>
    <xf numFmtId="4" fontId="42" fillId="0" borderId="59" xfId="11" applyNumberFormat="1" applyFont="1" applyFill="1" applyBorder="1" applyAlignment="1">
      <alignment vertical="center"/>
    </xf>
    <xf numFmtId="41" fontId="42" fillId="0" borderId="59" xfId="12" applyFont="1" applyFill="1" applyBorder="1" applyAlignment="1">
      <alignment horizontal="center" vertical="center"/>
    </xf>
    <xf numFmtId="4" fontId="42" fillId="0" borderId="59" xfId="11" applyNumberFormat="1" applyFont="1" applyFill="1" applyBorder="1" applyAlignment="1">
      <alignment horizontal="center" vertical="center"/>
    </xf>
    <xf numFmtId="37" fontId="42" fillId="0" borderId="57" xfId="11" applyNumberFormat="1" applyFont="1" applyFill="1" applyBorder="1" applyAlignment="1">
      <alignment vertical="center"/>
    </xf>
    <xf numFmtId="0" fontId="42" fillId="0" borderId="57" xfId="11" applyNumberFormat="1" applyFont="1" applyFill="1" applyBorder="1" applyAlignment="1">
      <alignment horizontal="center" vertical="center"/>
    </xf>
    <xf numFmtId="165" fontId="42" fillId="0" borderId="57" xfId="3" applyFont="1" applyFill="1" applyBorder="1" applyAlignment="1">
      <alignment horizontal="center" vertical="center"/>
    </xf>
    <xf numFmtId="165" fontId="42" fillId="0" borderId="57" xfId="3" applyFont="1" applyFill="1" applyBorder="1" applyAlignment="1">
      <alignment vertical="center"/>
    </xf>
    <xf numFmtId="37" fontId="42" fillId="0" borderId="57" xfId="3" applyNumberFormat="1" applyFont="1" applyFill="1" applyBorder="1" applyAlignment="1">
      <alignment vertical="center"/>
    </xf>
    <xf numFmtId="37" fontId="42" fillId="0" borderId="57" xfId="11" applyNumberFormat="1" applyFont="1" applyFill="1" applyBorder="1" applyAlignment="1">
      <alignment horizontal="center" vertical="center"/>
    </xf>
    <xf numFmtId="39" fontId="42" fillId="0" borderId="57" xfId="11" applyNumberFormat="1" applyFont="1" applyFill="1" applyBorder="1" applyAlignment="1">
      <alignment vertical="center"/>
    </xf>
    <xf numFmtId="4" fontId="43" fillId="0" borderId="29" xfId="11" applyNumberFormat="1" applyFont="1" applyFill="1" applyBorder="1" applyAlignment="1">
      <alignment horizontal="center" vertical="center"/>
    </xf>
    <xf numFmtId="41" fontId="43" fillId="0" borderId="30" xfId="12" applyFont="1" applyFill="1" applyBorder="1" applyAlignment="1">
      <alignment horizontal="center" vertical="center"/>
    </xf>
    <xf numFmtId="37" fontId="43" fillId="0" borderId="22" xfId="11" applyNumberFormat="1" applyFont="1" applyFill="1" applyBorder="1" applyAlignment="1">
      <alignment vertical="center"/>
    </xf>
    <xf numFmtId="39" fontId="43" fillId="0" borderId="22" xfId="11" applyNumberFormat="1" applyFont="1" applyFill="1" applyBorder="1" applyAlignment="1">
      <alignment horizontal="center" vertical="center"/>
    </xf>
    <xf numFmtId="41" fontId="43" fillId="0" borderId="0" xfId="12" applyFont="1" applyFill="1" applyBorder="1" applyAlignment="1">
      <alignment horizontal="center" vertical="center"/>
    </xf>
    <xf numFmtId="39" fontId="43" fillId="0" borderId="0" xfId="11" applyNumberFormat="1" applyFont="1" applyFill="1" applyBorder="1" applyAlignment="1">
      <alignment vertical="center"/>
    </xf>
    <xf numFmtId="39" fontId="43" fillId="0" borderId="0" xfId="11" applyNumberFormat="1" applyFont="1" applyFill="1" applyBorder="1" applyAlignment="1">
      <alignment horizontal="center" vertical="center"/>
    </xf>
    <xf numFmtId="37" fontId="43" fillId="0" borderId="0" xfId="11" applyNumberFormat="1" applyFont="1" applyFill="1" applyBorder="1" applyAlignment="1">
      <alignment horizontal="center" vertical="center"/>
    </xf>
    <xf numFmtId="4" fontId="42" fillId="0" borderId="0" xfId="11" applyNumberFormat="1" applyFont="1" applyFill="1" applyAlignment="1">
      <alignment horizontal="center" vertical="center"/>
    </xf>
    <xf numFmtId="0" fontId="42" fillId="0" borderId="0" xfId="11" applyNumberFormat="1" applyFont="1" applyFill="1" applyAlignment="1">
      <alignment horizontal="left" vertical="center"/>
    </xf>
    <xf numFmtId="41" fontId="42" fillId="0" borderId="0" xfId="12" applyFont="1" applyFill="1" applyAlignment="1">
      <alignment horizontal="center" vertical="center"/>
    </xf>
    <xf numFmtId="39" fontId="42" fillId="0" borderId="0" xfId="11" applyNumberFormat="1" applyFont="1" applyFill="1" applyAlignment="1">
      <alignment vertical="center"/>
    </xf>
    <xf numFmtId="0" fontId="42" fillId="0" borderId="0" xfId="11" applyNumberFormat="1" applyFont="1" applyFill="1" applyAlignment="1">
      <alignment horizontal="center" vertical="center"/>
    </xf>
    <xf numFmtId="37" fontId="45" fillId="0" borderId="0" xfId="11" applyNumberFormat="1" applyFont="1" applyFill="1" applyAlignment="1">
      <alignment vertical="center"/>
    </xf>
    <xf numFmtId="37" fontId="42" fillId="0" borderId="0" xfId="11" applyNumberFormat="1" applyFont="1" applyFill="1" applyAlignment="1">
      <alignment horizontal="center" vertical="center"/>
    </xf>
    <xf numFmtId="39" fontId="46" fillId="0" borderId="0" xfId="11" applyNumberFormat="1" applyFont="1" applyFill="1" applyAlignment="1">
      <alignment horizontal="center" vertical="center"/>
    </xf>
    <xf numFmtId="169" fontId="46" fillId="0" borderId="0" xfId="11" applyNumberFormat="1" applyFont="1" applyFill="1" applyAlignment="1">
      <alignment vertical="center"/>
    </xf>
    <xf numFmtId="4" fontId="43" fillId="0" borderId="0" xfId="11" applyNumberFormat="1" applyFont="1" applyFill="1" applyAlignment="1">
      <alignment horizontal="center" vertical="center"/>
    </xf>
    <xf numFmtId="0" fontId="43" fillId="0" borderId="0" xfId="11" applyNumberFormat="1" applyFont="1" applyFill="1" applyBorder="1" applyAlignment="1">
      <alignment horizontal="left" vertical="center"/>
    </xf>
    <xf numFmtId="4" fontId="43" fillId="0" borderId="0" xfId="11" applyNumberFormat="1" applyFont="1" applyFill="1" applyBorder="1" applyAlignment="1">
      <alignment vertical="center"/>
    </xf>
    <xf numFmtId="39" fontId="47" fillId="0" borderId="0" xfId="11" applyNumberFormat="1" applyFont="1" applyFill="1" applyBorder="1" applyAlignment="1">
      <alignment vertical="center"/>
    </xf>
    <xf numFmtId="43" fontId="47" fillId="0" borderId="0" xfId="11" applyFont="1" applyFill="1" applyBorder="1" applyAlignment="1">
      <alignment horizontal="center" vertical="center"/>
    </xf>
    <xf numFmtId="37" fontId="47" fillId="0" borderId="0" xfId="11" applyNumberFormat="1" applyFont="1" applyFill="1" applyBorder="1" applyAlignment="1">
      <alignment horizontal="center" vertical="center"/>
    </xf>
    <xf numFmtId="39" fontId="43" fillId="0" borderId="0" xfId="11" applyNumberFormat="1" applyFont="1" applyFill="1" applyAlignment="1">
      <alignment vertical="center"/>
    </xf>
    <xf numFmtId="37" fontId="43" fillId="0" borderId="0" xfId="11" applyNumberFormat="1" applyFont="1" applyFill="1" applyAlignment="1">
      <alignment horizontal="center" vertical="center"/>
    </xf>
    <xf numFmtId="169" fontId="43" fillId="0" borderId="0" xfId="11" applyNumberFormat="1" applyFont="1" applyFill="1" applyAlignment="1">
      <alignment vertical="center"/>
    </xf>
    <xf numFmtId="41" fontId="42" fillId="0" borderId="0" xfId="12" applyFont="1" applyFill="1" applyBorder="1" applyAlignment="1">
      <alignment horizontal="center" vertical="center"/>
    </xf>
    <xf numFmtId="39" fontId="48" fillId="0" borderId="0" xfId="11" applyNumberFormat="1" applyFont="1" applyFill="1" applyBorder="1" applyAlignment="1">
      <alignment vertical="center"/>
    </xf>
    <xf numFmtId="43" fontId="48" fillId="0" borderId="0" xfId="11" applyFont="1" applyFill="1" applyBorder="1" applyAlignment="1">
      <alignment horizontal="center" vertical="center"/>
    </xf>
    <xf numFmtId="37" fontId="48" fillId="0" borderId="0" xfId="11" applyNumberFormat="1" applyFont="1" applyFill="1" applyBorder="1" applyAlignment="1">
      <alignment horizontal="center" vertical="center"/>
    </xf>
    <xf numFmtId="0" fontId="43" fillId="0" borderId="0" xfId="11" applyNumberFormat="1" applyFont="1" applyFill="1" applyBorder="1" applyAlignment="1">
      <alignment horizontal="center" vertical="center"/>
    </xf>
    <xf numFmtId="4" fontId="47" fillId="0" borderId="0" xfId="11" applyNumberFormat="1" applyFont="1" applyFill="1" applyBorder="1" applyAlignment="1">
      <alignment horizontal="center" vertical="center"/>
    </xf>
    <xf numFmtId="0" fontId="3" fillId="0" borderId="0" xfId="0" quotePrefix="1" applyFont="1" applyAlignment="1">
      <alignment horizontal="center" vertical="top"/>
    </xf>
    <xf numFmtId="173" fontId="8" fillId="0" borderId="0" xfId="3" applyNumberFormat="1" applyFont="1" applyAlignment="1">
      <alignment horizontal="center"/>
    </xf>
    <xf numFmtId="173" fontId="8" fillId="0" borderId="1" xfId="3" applyNumberFormat="1" applyFont="1" applyBorder="1" applyAlignment="1">
      <alignment horizontal="center"/>
    </xf>
    <xf numFmtId="173" fontId="23" fillId="0" borderId="31" xfId="7" applyNumberFormat="1" applyFont="1" applyBorder="1" applyAlignment="1">
      <alignment horizontal="center" vertical="center"/>
    </xf>
    <xf numFmtId="173" fontId="8" fillId="0" borderId="1" xfId="3" applyNumberFormat="1" applyFont="1" applyFill="1" applyBorder="1" applyAlignment="1">
      <alignment horizontal="center" vertical="top" wrapText="1"/>
    </xf>
    <xf numFmtId="173" fontId="8" fillId="0" borderId="1" xfId="7" applyNumberFormat="1" applyFont="1" applyBorder="1" applyAlignment="1">
      <alignment horizontal="center" vertical="top" wrapText="1"/>
    </xf>
    <xf numFmtId="173" fontId="8" fillId="0" borderId="1" xfId="3" applyNumberFormat="1" applyFont="1" applyBorder="1" applyAlignment="1">
      <alignment horizontal="center" vertical="top" wrapText="1"/>
    </xf>
    <xf numFmtId="173" fontId="15" fillId="0" borderId="1" xfId="3" applyNumberFormat="1" applyFont="1" applyBorder="1" applyAlignment="1">
      <alignment horizontal="center" vertical="center"/>
    </xf>
    <xf numFmtId="173" fontId="15" fillId="0" borderId="1" xfId="3" applyNumberFormat="1" applyFont="1" applyBorder="1" applyAlignment="1">
      <alignment horizontal="center"/>
    </xf>
    <xf numFmtId="165" fontId="8" fillId="0" borderId="1" xfId="3" quotePrefix="1" applyFont="1" applyFill="1" applyBorder="1" applyAlignment="1">
      <alignment vertical="top" wrapText="1"/>
    </xf>
    <xf numFmtId="0" fontId="8" fillId="0" borderId="1" xfId="7" applyFont="1" applyBorder="1" applyAlignment="1">
      <alignment horizontal="right" vertical="top" wrapText="1"/>
    </xf>
    <xf numFmtId="0" fontId="0" fillId="0" borderId="1" xfId="0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1" xfId="0" applyFont="1" applyBorder="1" applyAlignment="1">
      <alignment horizontal="center" vertical="center" wrapText="1"/>
    </xf>
    <xf numFmtId="14" fontId="49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wrapText="1"/>
    </xf>
    <xf numFmtId="0" fontId="50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vertical="center" wrapText="1"/>
    </xf>
    <xf numFmtId="0" fontId="51" fillId="0" borderId="1" xfId="8" applyFont="1" applyBorder="1" applyAlignment="1">
      <alignment horizontal="center" vertical="center"/>
    </xf>
    <xf numFmtId="0" fontId="52" fillId="0" borderId="1" xfId="8" applyFont="1" applyBorder="1" applyAlignment="1">
      <alignment horizontal="center" vertical="center"/>
    </xf>
    <xf numFmtId="0" fontId="16" fillId="0" borderId="0" xfId="2" applyFont="1" applyAlignment="1">
      <alignment horizontal="center"/>
    </xf>
    <xf numFmtId="0" fontId="17" fillId="0" borderId="0" xfId="2" applyFont="1" applyAlignment="1">
      <alignment horizontal="right"/>
    </xf>
    <xf numFmtId="0" fontId="8" fillId="0" borderId="9" xfId="2" applyFont="1" applyBorder="1" applyAlignment="1">
      <alignment horizontal="right"/>
    </xf>
    <xf numFmtId="0" fontId="8" fillId="0" borderId="10" xfId="2" applyFont="1" applyBorder="1" applyAlignment="1">
      <alignment horizontal="right"/>
    </xf>
    <xf numFmtId="0" fontId="3" fillId="0" borderId="0" xfId="2" applyFont="1" applyAlignment="1">
      <alignment horizontal="center"/>
    </xf>
    <xf numFmtId="0" fontId="8" fillId="0" borderId="9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166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vertical="center"/>
    </xf>
    <xf numFmtId="169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169" fontId="3" fillId="0" borderId="1" xfId="0" applyNumberFormat="1" applyFont="1" applyBorder="1" applyAlignment="1">
      <alignment vertical="top" wrapText="1"/>
    </xf>
    <xf numFmtId="0" fontId="4" fillId="0" borderId="0" xfId="0" applyFont="1"/>
    <xf numFmtId="166" fontId="31" fillId="0" borderId="0" xfId="0" applyNumberFormat="1" applyFont="1"/>
    <xf numFmtId="0" fontId="5" fillId="0" borderId="0" xfId="0" applyFont="1" applyAlignment="1">
      <alignment horizontal="right"/>
    </xf>
    <xf numFmtId="166" fontId="5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6" fontId="22" fillId="0" borderId="0" xfId="0" applyNumberFormat="1" applyFont="1"/>
    <xf numFmtId="0" fontId="3" fillId="0" borderId="1" xfId="0" applyFont="1" applyBorder="1" applyAlignment="1">
      <alignment horizontal="center" vertical="top"/>
    </xf>
    <xf numFmtId="166" fontId="32" fillId="0" borderId="0" xfId="0" applyNumberFormat="1" applyFont="1"/>
    <xf numFmtId="166" fontId="3" fillId="0" borderId="7" xfId="0" applyNumberFormat="1" applyFont="1" applyBorder="1"/>
    <xf numFmtId="166" fontId="4" fillId="0" borderId="0" xfId="0" applyNumberFormat="1" applyFont="1"/>
    <xf numFmtId="0" fontId="3" fillId="0" borderId="1" xfId="0" quotePrefix="1" applyFont="1" applyBorder="1" applyAlignment="1">
      <alignment horizontal="center" vertical="top"/>
    </xf>
    <xf numFmtId="166" fontId="5" fillId="0" borderId="8" xfId="0" applyNumberFormat="1" applyFont="1" applyBorder="1" applyAlignment="1">
      <alignment horizontal="center"/>
    </xf>
    <xf numFmtId="166" fontId="31" fillId="0" borderId="0" xfId="0" applyNumberFormat="1" applyFont="1" applyAlignment="1">
      <alignment horizontal="center"/>
    </xf>
    <xf numFmtId="166" fontId="3" fillId="0" borderId="6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right"/>
    </xf>
    <xf numFmtId="4" fontId="4" fillId="0" borderId="3" xfId="0" applyNumberFormat="1" applyFont="1" applyBorder="1" applyAlignment="1">
      <alignment horizontal="right"/>
    </xf>
    <xf numFmtId="4" fontId="4" fillId="0" borderId="4" xfId="0" applyNumberFormat="1" applyFont="1" applyBorder="1" applyAlignment="1">
      <alignment horizontal="right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4" fontId="3" fillId="0" borderId="2" xfId="0" applyNumberFormat="1" applyFont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4" fontId="3" fillId="0" borderId="4" xfId="0" applyNumberFormat="1" applyFont="1" applyBorder="1" applyAlignment="1">
      <alignment horizontal="right"/>
    </xf>
    <xf numFmtId="169" fontId="3" fillId="0" borderId="2" xfId="1" applyNumberFormat="1" applyFont="1" applyBorder="1" applyAlignment="1">
      <alignment horizontal="right" vertical="top"/>
    </xf>
    <xf numFmtId="169" fontId="3" fillId="0" borderId="3" xfId="1" applyNumberFormat="1" applyFont="1" applyBorder="1" applyAlignment="1">
      <alignment horizontal="right" vertical="top"/>
    </xf>
    <xf numFmtId="169" fontId="3" fillId="0" borderId="4" xfId="1" applyNumberFormat="1" applyFont="1" applyBorder="1" applyAlignment="1">
      <alignment horizontal="right" vertical="top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4" fontId="3" fillId="0" borderId="2" xfId="0" applyNumberFormat="1" applyFont="1" applyBorder="1" applyAlignment="1">
      <alignment vertical="top"/>
    </xf>
    <xf numFmtId="4" fontId="3" fillId="0" borderId="3" xfId="0" applyNumberFormat="1" applyFont="1" applyBorder="1" applyAlignment="1">
      <alignment vertical="top"/>
    </xf>
    <xf numFmtId="4" fontId="3" fillId="0" borderId="4" xfId="0" applyNumberFormat="1" applyFont="1" applyBorder="1" applyAlignment="1">
      <alignment vertical="top"/>
    </xf>
    <xf numFmtId="0" fontId="4" fillId="0" borderId="3" xfId="0" applyFont="1" applyBorder="1"/>
    <xf numFmtId="0" fontId="4" fillId="0" borderId="4" xfId="0" applyFont="1" applyBorder="1"/>
    <xf numFmtId="0" fontId="4" fillId="0" borderId="3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vertical="center" wrapText="1"/>
    </xf>
    <xf numFmtId="168" fontId="3" fillId="0" borderId="1" xfId="0" applyNumberFormat="1" applyFont="1" applyBorder="1" applyAlignment="1">
      <alignment vertical="center"/>
    </xf>
    <xf numFmtId="0" fontId="4" fillId="0" borderId="4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168" fontId="4" fillId="0" borderId="1" xfId="1" applyNumberFormat="1" applyFont="1" applyBorder="1" applyAlignment="1">
      <alignment vertical="top"/>
    </xf>
    <xf numFmtId="4" fontId="4" fillId="0" borderId="2" xfId="0" applyNumberFormat="1" applyFont="1" applyBorder="1"/>
    <xf numFmtId="4" fontId="4" fillId="0" borderId="3" xfId="0" applyNumberFormat="1" applyFont="1" applyBorder="1"/>
    <xf numFmtId="4" fontId="4" fillId="0" borderId="4" xfId="0" applyNumberFormat="1" applyFont="1" applyBorder="1"/>
    <xf numFmtId="168" fontId="3" fillId="0" borderId="1" xfId="1" applyNumberFormat="1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right"/>
    </xf>
    <xf numFmtId="2" fontId="3" fillId="0" borderId="3" xfId="0" applyNumberFormat="1" applyFont="1" applyBorder="1" applyAlignment="1">
      <alignment horizontal="right"/>
    </xf>
    <xf numFmtId="2" fontId="3" fillId="0" borderId="4" xfId="0" applyNumberFormat="1" applyFont="1" applyBorder="1" applyAlignment="1">
      <alignment horizontal="right"/>
    </xf>
    <xf numFmtId="2" fontId="4" fillId="0" borderId="2" xfId="0" applyNumberFormat="1" applyFont="1" applyBorder="1" applyAlignment="1">
      <alignment horizontal="right"/>
    </xf>
    <xf numFmtId="2" fontId="4" fillId="0" borderId="3" xfId="0" applyNumberFormat="1" applyFont="1" applyBorder="1" applyAlignment="1">
      <alignment horizontal="right"/>
    </xf>
    <xf numFmtId="2" fontId="4" fillId="0" borderId="4" xfId="0" applyNumberFormat="1" applyFont="1" applyBorder="1" applyAlignment="1">
      <alignment horizontal="right"/>
    </xf>
    <xf numFmtId="169" fontId="3" fillId="0" borderId="2" xfId="1" applyNumberFormat="1" applyFont="1" applyBorder="1" applyAlignment="1">
      <alignment vertical="top"/>
    </xf>
    <xf numFmtId="169" fontId="3" fillId="0" borderId="3" xfId="1" applyNumberFormat="1" applyFont="1" applyBorder="1" applyAlignment="1">
      <alignment vertical="top"/>
    </xf>
    <xf numFmtId="169" fontId="3" fillId="0" borderId="4" xfId="1" applyNumberFormat="1" applyFont="1" applyBorder="1" applyAlignment="1">
      <alignment vertical="top"/>
    </xf>
    <xf numFmtId="0" fontId="4" fillId="0" borderId="2" xfId="0" applyFont="1" applyBorder="1"/>
    <xf numFmtId="169" fontId="3" fillId="0" borderId="2" xfId="1" applyNumberFormat="1" applyFont="1" applyBorder="1"/>
    <xf numFmtId="169" fontId="3" fillId="0" borderId="3" xfId="1" applyNumberFormat="1" applyFont="1" applyBorder="1"/>
    <xf numFmtId="169" fontId="3" fillId="0" borderId="4" xfId="1" applyNumberFormat="1" applyFont="1" applyBorder="1"/>
    <xf numFmtId="169" fontId="3" fillId="0" borderId="2" xfId="0" applyNumberFormat="1" applyFont="1" applyBorder="1" applyAlignment="1">
      <alignment vertical="top"/>
    </xf>
    <xf numFmtId="169" fontId="3" fillId="0" borderId="3" xfId="0" applyNumberFormat="1" applyFont="1" applyBorder="1" applyAlignment="1">
      <alignment vertical="top"/>
    </xf>
    <xf numFmtId="169" fontId="3" fillId="0" borderId="4" xfId="0" applyNumberFormat="1" applyFont="1" applyBorder="1" applyAlignment="1">
      <alignment vertical="top"/>
    </xf>
    <xf numFmtId="168" fontId="3" fillId="0" borderId="2" xfId="0" applyNumberFormat="1" applyFont="1" applyBorder="1" applyAlignment="1">
      <alignment vertical="top"/>
    </xf>
    <xf numFmtId="168" fontId="3" fillId="0" borderId="3" xfId="0" applyNumberFormat="1" applyFont="1" applyBorder="1" applyAlignment="1">
      <alignment vertical="top"/>
    </xf>
    <xf numFmtId="168" fontId="3" fillId="0" borderId="4" xfId="0" applyNumberFormat="1" applyFont="1" applyBorder="1" applyAlignment="1">
      <alignment vertical="top"/>
    </xf>
    <xf numFmtId="0" fontId="4" fillId="0" borderId="0" xfId="0" applyFont="1" applyAlignment="1">
      <alignment horizontal="center"/>
    </xf>
    <xf numFmtId="166" fontId="3" fillId="0" borderId="0" xfId="0" applyNumberFormat="1" applyFont="1"/>
    <xf numFmtId="168" fontId="3" fillId="0" borderId="0" xfId="1" applyNumberFormat="1" applyFont="1"/>
    <xf numFmtId="166" fontId="3" fillId="0" borderId="0" xfId="0" applyNumberFormat="1" applyFont="1" applyAlignment="1">
      <alignment horizontal="center" vertical="top"/>
    </xf>
    <xf numFmtId="0" fontId="3" fillId="0" borderId="0" xfId="0" applyFont="1"/>
    <xf numFmtId="169" fontId="3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vertical="top"/>
    </xf>
    <xf numFmtId="169" fontId="4" fillId="0" borderId="2" xfId="0" applyNumberFormat="1" applyFont="1" applyBorder="1" applyAlignment="1">
      <alignment vertical="top" wrapText="1"/>
    </xf>
    <xf numFmtId="169" fontId="4" fillId="0" borderId="3" xfId="0" applyNumberFormat="1" applyFont="1" applyBorder="1" applyAlignment="1">
      <alignment vertical="top" wrapText="1"/>
    </xf>
    <xf numFmtId="169" fontId="4" fillId="0" borderId="4" xfId="0" applyNumberFormat="1" applyFont="1" applyBorder="1" applyAlignment="1">
      <alignment vertical="top" wrapText="1"/>
    </xf>
    <xf numFmtId="167" fontId="3" fillId="0" borderId="23" xfId="0" applyNumberFormat="1" applyFont="1" applyBorder="1" applyAlignment="1">
      <alignment horizontal="center" vertical="center" wrapText="1"/>
    </xf>
    <xf numFmtId="167" fontId="3" fillId="0" borderId="5" xfId="0" applyNumberFormat="1" applyFont="1" applyBorder="1" applyAlignment="1">
      <alignment horizontal="center" vertical="center" wrapText="1"/>
    </xf>
    <xf numFmtId="167" fontId="3" fillId="0" borderId="24" xfId="0" applyNumberFormat="1" applyFont="1" applyBorder="1" applyAlignment="1">
      <alignment horizontal="center" vertical="center" wrapText="1"/>
    </xf>
    <xf numFmtId="168" fontId="3" fillId="0" borderId="1" xfId="0" applyNumberFormat="1" applyFont="1" applyBorder="1" applyAlignment="1">
      <alignment vertical="top"/>
    </xf>
    <xf numFmtId="169" fontId="3" fillId="0" borderId="2" xfId="0" applyNumberFormat="1" applyFont="1" applyBorder="1" applyAlignment="1">
      <alignment vertical="top" wrapText="1"/>
    </xf>
    <xf numFmtId="169" fontId="3" fillId="0" borderId="3" xfId="0" applyNumberFormat="1" applyFont="1" applyBorder="1" applyAlignment="1">
      <alignment vertical="top" wrapText="1"/>
    </xf>
    <xf numFmtId="169" fontId="3" fillId="0" borderId="4" xfId="0" applyNumberFormat="1" applyFont="1" applyBorder="1" applyAlignment="1">
      <alignment vertical="top" wrapText="1"/>
    </xf>
    <xf numFmtId="166" fontId="3" fillId="0" borderId="7" xfId="0" applyNumberFormat="1" applyFont="1" applyBorder="1" applyAlignment="1">
      <alignment horizontal="center"/>
    </xf>
    <xf numFmtId="166" fontId="3" fillId="0" borderId="8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vertical="center"/>
    </xf>
    <xf numFmtId="166" fontId="3" fillId="0" borderId="7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" fontId="8" fillId="0" borderId="0" xfId="7" applyNumberFormat="1" applyFont="1" applyAlignment="1">
      <alignment horizontal="center"/>
    </xf>
    <xf numFmtId="0" fontId="8" fillId="0" borderId="0" xfId="7" applyFont="1" applyAlignment="1">
      <alignment horizontal="center"/>
    </xf>
    <xf numFmtId="39" fontId="8" fillId="0" borderId="0" xfId="7" applyNumberFormat="1" applyFont="1" applyAlignment="1">
      <alignment horizontal="center"/>
    </xf>
    <xf numFmtId="0" fontId="15" fillId="0" borderId="23" xfId="7" applyFont="1" applyBorder="1" applyAlignment="1">
      <alignment horizontal="center" vertical="center"/>
    </xf>
    <xf numFmtId="0" fontId="15" fillId="0" borderId="5" xfId="7" applyFont="1" applyBorder="1" applyAlignment="1">
      <alignment horizontal="center" vertical="center"/>
    </xf>
    <xf numFmtId="0" fontId="15" fillId="0" borderId="24" xfId="7" applyFont="1" applyBorder="1" applyAlignment="1">
      <alignment horizontal="center" vertical="center"/>
    </xf>
    <xf numFmtId="0" fontId="15" fillId="0" borderId="29" xfId="7" applyFont="1" applyBorder="1" applyAlignment="1">
      <alignment horizontal="center" vertical="center"/>
    </xf>
    <xf numFmtId="0" fontId="15" fillId="0" borderId="6" xfId="7" applyFont="1" applyBorder="1" applyAlignment="1">
      <alignment horizontal="center" vertical="center"/>
    </xf>
    <xf numFmtId="0" fontId="15" fillId="0" borderId="30" xfId="7" applyFont="1" applyBorder="1" applyAlignment="1">
      <alignment horizontal="center" vertical="center"/>
    </xf>
    <xf numFmtId="0" fontId="8" fillId="0" borderId="25" xfId="7" applyFont="1" applyBorder="1" applyAlignment="1">
      <alignment horizontal="center" vertical="center"/>
    </xf>
    <xf numFmtId="0" fontId="8" fillId="0" borderId="22" xfId="7" applyFont="1" applyBorder="1" applyAlignment="1">
      <alignment horizontal="center" vertical="center"/>
    </xf>
    <xf numFmtId="0" fontId="8" fillId="0" borderId="2" xfId="7" applyFont="1" applyBorder="1" applyAlignment="1">
      <alignment horizontal="center"/>
    </xf>
    <xf numFmtId="0" fontId="8" fillId="0" borderId="3" xfId="7" applyFont="1" applyBorder="1" applyAlignment="1">
      <alignment horizontal="center"/>
    </xf>
    <xf numFmtId="0" fontId="8" fillId="0" borderId="4" xfId="7" applyFont="1" applyBorder="1" applyAlignment="1">
      <alignment horizontal="center"/>
    </xf>
    <xf numFmtId="0" fontId="22" fillId="0" borderId="0" xfId="8" applyFont="1" applyAlignment="1">
      <alignment horizontal="center" vertical="center"/>
    </xf>
    <xf numFmtId="0" fontId="11" fillId="0" borderId="25" xfId="8" applyFont="1" applyBorder="1" applyAlignment="1">
      <alignment horizontal="center" vertical="center"/>
    </xf>
    <xf numFmtId="0" fontId="11" fillId="0" borderId="32" xfId="8" applyFont="1" applyBorder="1" applyAlignment="1">
      <alignment horizontal="center" vertical="center"/>
    </xf>
    <xf numFmtId="0" fontId="11" fillId="0" borderId="23" xfId="8" applyFont="1" applyBorder="1" applyAlignment="1">
      <alignment horizontal="center" vertical="center"/>
    </xf>
    <xf numFmtId="0" fontId="11" fillId="0" borderId="5" xfId="8" applyFont="1" applyBorder="1" applyAlignment="1">
      <alignment horizontal="center" vertical="center"/>
    </xf>
    <xf numFmtId="0" fontId="11" fillId="0" borderId="24" xfId="8" applyFont="1" applyBorder="1" applyAlignment="1">
      <alignment horizontal="center" vertical="center"/>
    </xf>
    <xf numFmtId="0" fontId="11" fillId="0" borderId="33" xfId="8" applyFont="1" applyBorder="1" applyAlignment="1">
      <alignment horizontal="center" vertical="center"/>
    </xf>
    <xf numFmtId="0" fontId="11" fillId="0" borderId="34" xfId="8" applyFont="1" applyBorder="1" applyAlignment="1">
      <alignment horizontal="center" vertical="center"/>
    </xf>
    <xf numFmtId="0" fontId="11" fillId="0" borderId="35" xfId="8" applyFont="1" applyBorder="1" applyAlignment="1">
      <alignment horizontal="center" vertical="center"/>
    </xf>
    <xf numFmtId="0" fontId="11" fillId="0" borderId="2" xfId="8" applyFont="1" applyBorder="1" applyAlignment="1">
      <alignment horizontal="center" vertical="center"/>
    </xf>
    <xf numFmtId="0" fontId="11" fillId="0" borderId="3" xfId="8" applyFont="1" applyBorder="1" applyAlignment="1">
      <alignment horizontal="center" vertical="center"/>
    </xf>
    <xf numFmtId="0" fontId="11" fillId="0" borderId="4" xfId="8" applyFont="1" applyBorder="1" applyAlignment="1">
      <alignment horizontal="center" vertical="center"/>
    </xf>
    <xf numFmtId="0" fontId="11" fillId="0" borderId="25" xfId="8" applyFont="1" applyBorder="1" applyAlignment="1">
      <alignment horizontal="center" vertical="center" wrapText="1"/>
    </xf>
    <xf numFmtId="0" fontId="11" fillId="0" borderId="32" xfId="8" applyFont="1" applyBorder="1" applyAlignment="1">
      <alignment horizontal="center" vertical="center" wrapText="1"/>
    </xf>
    <xf numFmtId="0" fontId="8" fillId="0" borderId="0" xfId="7" applyFont="1" applyAlignment="1">
      <alignment horizontal="left"/>
    </xf>
    <xf numFmtId="0" fontId="1" fillId="0" borderId="0" xfId="15" applyAlignment="1">
      <alignment horizontal="left" vertical="center"/>
    </xf>
    <xf numFmtId="0" fontId="21" fillId="0" borderId="2" xfId="8" applyFont="1" applyBorder="1" applyAlignment="1">
      <alignment horizontal="center" vertical="center"/>
    </xf>
    <xf numFmtId="0" fontId="21" fillId="0" borderId="3" xfId="8" applyFont="1" applyBorder="1" applyAlignment="1">
      <alignment horizontal="center" vertical="center"/>
    </xf>
    <xf numFmtId="0" fontId="21" fillId="0" borderId="4" xfId="8" applyFont="1" applyBorder="1" applyAlignment="1">
      <alignment horizontal="center" vertical="center"/>
    </xf>
    <xf numFmtId="39" fontId="43" fillId="0" borderId="2" xfId="11" applyNumberFormat="1" applyFont="1" applyFill="1" applyBorder="1" applyAlignment="1">
      <alignment horizontal="center" vertical="center"/>
    </xf>
    <xf numFmtId="39" fontId="43" fillId="0" borderId="3" xfId="11" applyNumberFormat="1" applyFont="1" applyFill="1" applyBorder="1" applyAlignment="1">
      <alignment horizontal="center" vertical="center"/>
    </xf>
    <xf numFmtId="39" fontId="43" fillId="0" borderId="4" xfId="11" applyNumberFormat="1" applyFont="1" applyFill="1" applyBorder="1" applyAlignment="1">
      <alignment horizontal="center" vertical="center"/>
    </xf>
    <xf numFmtId="4" fontId="43" fillId="0" borderId="29" xfId="11" applyNumberFormat="1" applyFont="1" applyFill="1" applyBorder="1" applyAlignment="1">
      <alignment horizontal="center" vertical="center"/>
    </xf>
    <xf numFmtId="4" fontId="43" fillId="0" borderId="30" xfId="11" applyNumberFormat="1" applyFont="1" applyFill="1" applyBorder="1" applyAlignment="1">
      <alignment horizontal="center" vertical="center"/>
    </xf>
    <xf numFmtId="39" fontId="46" fillId="0" borderId="0" xfId="11" applyNumberFormat="1" applyFont="1" applyFill="1" applyAlignment="1">
      <alignment horizontal="center" vertical="center"/>
    </xf>
    <xf numFmtId="0" fontId="43" fillId="0" borderId="0" xfId="11" applyNumberFormat="1" applyFont="1" applyFill="1" applyBorder="1" applyAlignment="1">
      <alignment horizontal="center" vertical="center"/>
    </xf>
    <xf numFmtId="4" fontId="43" fillId="0" borderId="0" xfId="11" applyNumberFormat="1" applyFont="1" applyFill="1" applyBorder="1" applyAlignment="1">
      <alignment horizontal="center" vertical="center"/>
    </xf>
    <xf numFmtId="4" fontId="43" fillId="0" borderId="25" xfId="11" applyNumberFormat="1" applyFont="1" applyFill="1" applyBorder="1" applyAlignment="1">
      <alignment horizontal="center" vertical="center"/>
    </xf>
    <xf numFmtId="4" fontId="43" fillId="0" borderId="28" xfId="11" applyNumberFormat="1" applyFont="1" applyFill="1" applyBorder="1" applyAlignment="1">
      <alignment horizontal="center" vertical="center"/>
    </xf>
    <xf numFmtId="4" fontId="43" fillId="0" borderId="22" xfId="11" applyNumberFormat="1" applyFont="1" applyFill="1" applyBorder="1" applyAlignment="1">
      <alignment horizontal="center" vertical="center"/>
    </xf>
    <xf numFmtId="4" fontId="43" fillId="0" borderId="23" xfId="11" applyNumberFormat="1" applyFont="1" applyFill="1" applyBorder="1" applyAlignment="1">
      <alignment horizontal="center" vertical="center" wrapText="1"/>
    </xf>
    <xf numFmtId="4" fontId="43" fillId="0" borderId="24" xfId="11" applyNumberFormat="1" applyFont="1" applyFill="1" applyBorder="1" applyAlignment="1">
      <alignment horizontal="center" vertical="center" wrapText="1"/>
    </xf>
    <xf numFmtId="4" fontId="43" fillId="0" borderId="26" xfId="11" applyNumberFormat="1" applyFont="1" applyFill="1" applyBorder="1" applyAlignment="1">
      <alignment horizontal="center" vertical="center" wrapText="1"/>
    </xf>
    <xf numFmtId="4" fontId="43" fillId="0" borderId="27" xfId="11" applyNumberFormat="1" applyFont="1" applyFill="1" applyBorder="1" applyAlignment="1">
      <alignment horizontal="center" vertical="center" wrapText="1"/>
    </xf>
    <xf numFmtId="4" fontId="43" fillId="0" borderId="29" xfId="11" applyNumberFormat="1" applyFont="1" applyFill="1" applyBorder="1" applyAlignment="1">
      <alignment horizontal="center" vertical="center" wrapText="1"/>
    </xf>
    <xf numFmtId="4" fontId="43" fillId="0" borderId="30" xfId="11" applyNumberFormat="1" applyFont="1" applyFill="1" applyBorder="1" applyAlignment="1">
      <alignment horizontal="center" vertical="center" wrapText="1"/>
    </xf>
    <xf numFmtId="39" fontId="43" fillId="0" borderId="2" xfId="11" applyNumberFormat="1" applyFont="1" applyFill="1" applyBorder="1" applyAlignment="1">
      <alignment horizontal="center" vertical="center" wrapText="1"/>
    </xf>
    <xf numFmtId="39" fontId="43" fillId="0" borderId="3" xfId="11" applyNumberFormat="1" applyFont="1" applyFill="1" applyBorder="1" applyAlignment="1">
      <alignment horizontal="center" vertical="center" wrapText="1"/>
    </xf>
    <xf numFmtId="39" fontId="43" fillId="0" borderId="4" xfId="11" applyNumberFormat="1" applyFont="1" applyFill="1" applyBorder="1" applyAlignment="1">
      <alignment horizontal="center" vertical="center" wrapText="1"/>
    </xf>
    <xf numFmtId="0" fontId="43" fillId="0" borderId="25" xfId="11" applyNumberFormat="1" applyFont="1" applyFill="1" applyBorder="1" applyAlignment="1">
      <alignment horizontal="center" vertical="center" wrapText="1"/>
    </xf>
    <xf numFmtId="0" fontId="43" fillId="0" borderId="28" xfId="11" applyNumberFormat="1" applyFont="1" applyFill="1" applyBorder="1" applyAlignment="1">
      <alignment horizontal="center" vertical="center" wrapText="1"/>
    </xf>
    <xf numFmtId="0" fontId="43" fillId="0" borderId="22" xfId="11" applyNumberFormat="1" applyFont="1" applyFill="1" applyBorder="1" applyAlignment="1">
      <alignment horizontal="center" vertical="center" wrapText="1"/>
    </xf>
    <xf numFmtId="39" fontId="43" fillId="0" borderId="1" xfId="11" applyNumberFormat="1" applyFont="1" applyFill="1" applyBorder="1" applyAlignment="1">
      <alignment horizontal="center" vertical="center"/>
    </xf>
    <xf numFmtId="39" fontId="43" fillId="0" borderId="23" xfId="11" applyNumberFormat="1" applyFont="1" applyFill="1" applyBorder="1" applyAlignment="1">
      <alignment horizontal="center" vertical="center" wrapText="1"/>
    </xf>
    <xf numFmtId="39" fontId="43" fillId="0" borderId="24" xfId="11" applyNumberFormat="1" applyFont="1" applyFill="1" applyBorder="1" applyAlignment="1">
      <alignment horizontal="center" vertical="center" wrapText="1"/>
    </xf>
    <xf numFmtId="39" fontId="43" fillId="0" borderId="29" xfId="11" applyNumberFormat="1" applyFont="1" applyFill="1" applyBorder="1" applyAlignment="1">
      <alignment horizontal="center" vertical="center" wrapText="1"/>
    </xf>
    <xf numFmtId="39" fontId="43" fillId="0" borderId="30" xfId="11" applyNumberFormat="1" applyFont="1" applyFill="1" applyBorder="1" applyAlignment="1">
      <alignment horizontal="center" vertical="center" wrapText="1"/>
    </xf>
    <xf numFmtId="4" fontId="43" fillId="0" borderId="5" xfId="11" applyNumberFormat="1" applyFont="1" applyFill="1" applyBorder="1" applyAlignment="1">
      <alignment horizontal="center" vertical="center" wrapText="1"/>
    </xf>
    <xf numFmtId="4" fontId="43" fillId="0" borderId="6" xfId="11" applyNumberFormat="1" applyFont="1" applyFill="1" applyBorder="1" applyAlignment="1">
      <alignment horizontal="center" vertical="center" wrapText="1"/>
    </xf>
    <xf numFmtId="4" fontId="43" fillId="0" borderId="25" xfId="11" applyNumberFormat="1" applyFont="1" applyFill="1" applyBorder="1" applyAlignment="1">
      <alignment horizontal="center" vertical="center" wrapText="1"/>
    </xf>
    <xf numFmtId="4" fontId="43" fillId="0" borderId="28" xfId="11" applyNumberFormat="1" applyFont="1" applyFill="1" applyBorder="1" applyAlignment="1">
      <alignment horizontal="center" vertical="center" wrapText="1"/>
    </xf>
    <xf numFmtId="4" fontId="43" fillId="0" borderId="22" xfId="11" applyNumberFormat="1" applyFont="1" applyFill="1" applyBorder="1" applyAlignment="1">
      <alignment horizontal="center" vertical="center" wrapText="1"/>
    </xf>
    <xf numFmtId="39" fontId="43" fillId="0" borderId="25" xfId="11" applyNumberFormat="1" applyFont="1" applyFill="1" applyBorder="1" applyAlignment="1">
      <alignment horizontal="center" vertical="center" wrapText="1"/>
    </xf>
    <xf numFmtId="39" fontId="43" fillId="0" borderId="22" xfId="11" applyNumberFormat="1" applyFont="1" applyFill="1" applyBorder="1" applyAlignment="1">
      <alignment horizontal="center" vertical="center" wrapText="1"/>
    </xf>
  </cellXfs>
  <cellStyles count="18">
    <cellStyle name="Comma" xfId="14" builtinId="3"/>
    <cellStyle name="Comma [0]" xfId="1" builtinId="6"/>
    <cellStyle name="Comma [0] 2" xfId="3" xr:uid="{AD4DD0AD-E0D3-4091-AC1D-AC95D430856E}"/>
    <cellStyle name="Comma [0] 2 2" xfId="12" xr:uid="{625D4C52-DD78-4DD1-B0BE-7AF0D4E3770D}"/>
    <cellStyle name="Comma [0] 3" xfId="6" xr:uid="{15F056D8-4D33-471B-B369-33440029616E}"/>
    <cellStyle name="Comma [0] 3 2" xfId="9" xr:uid="{BD04EB64-2A42-40BA-BD18-AD85B43FB8B4}"/>
    <cellStyle name="Comma [0] 4" xfId="4" xr:uid="{ADE599BA-5688-40DC-A1BC-349F7E58744F}"/>
    <cellStyle name="Comma [0] 8" xfId="13" xr:uid="{807648F0-3E4F-438A-B570-F40F94AF0A9E}"/>
    <cellStyle name="Comma 2 2" xfId="11" xr:uid="{C31CB637-9248-46EC-9A4C-100FA25F8C62}"/>
    <cellStyle name="Hyperlink" xfId="17" builtinId="8"/>
    <cellStyle name="Normal" xfId="0" builtinId="0"/>
    <cellStyle name="Normal 2" xfId="7" xr:uid="{74330FC4-DFEF-482D-9AD6-281C9F0FAF3E}"/>
    <cellStyle name="Normal 2 2" xfId="10" xr:uid="{4BC6198D-E12D-4307-903F-1C95552C14FD}"/>
    <cellStyle name="Normal 3" xfId="5" xr:uid="{42E3A5E1-0319-4FB2-80C0-3C6325840A6B}"/>
    <cellStyle name="Normal 4" xfId="2" xr:uid="{C4C3670E-C68F-4197-9957-33BFF2A07DAD}"/>
    <cellStyle name="Normal 4 2" xfId="8" xr:uid="{4E62F526-3A57-4FCB-9E79-D41A3BACB4F6}"/>
    <cellStyle name="Normal 7" xfId="15" xr:uid="{0A371529-AAE5-4F1E-A694-9905A5566614}"/>
    <cellStyle name="Percent" xfId="16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orm_Rapermen_Pemdes_141007\Form_Rapermen_PPD_Perancanaan_141007\FORM%20PELAKSANAAN%20PEMBANGUNAN%20DESA\Form.25.b.%20Lembar%20Catatan%20Pemeriksaan%20Desai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-25.b LEMBAR CATATAN"/>
    </sheetNames>
    <sheetDataSet>
      <sheetData sheetId="0">
        <row r="3">
          <cell r="A3" t="str">
            <v>LEMBAR CATATAN PEMERIKSAAN</v>
          </cell>
        </row>
        <row r="5">
          <cell r="B5" t="str">
            <v xml:space="preserve">Lokasi                    </v>
          </cell>
          <cell r="D5" t="str">
            <v>:</v>
          </cell>
        </row>
        <row r="7">
          <cell r="B7" t="str">
            <v xml:space="preserve">Dibuat oleh        </v>
          </cell>
          <cell r="D7" t="str">
            <v>:</v>
          </cell>
          <cell r="I7" t="str">
            <v>Pemeriksaan ke :</v>
          </cell>
        </row>
        <row r="9">
          <cell r="B9" t="str">
            <v xml:space="preserve">Jabatan           </v>
          </cell>
          <cell r="D9" t="str">
            <v>:</v>
          </cell>
          <cell r="I9" t="str">
            <v>Tanggal diserahkan :</v>
          </cell>
        </row>
        <row r="11">
          <cell r="B11" t="str">
            <v>Jenis Prasarana :</v>
          </cell>
          <cell r="I11" t="str">
            <v>Tanggal diperiksa :</v>
          </cell>
        </row>
        <row r="15">
          <cell r="B15" t="str">
            <v>Hal-hal yang harus diperhatikan/diperbaiki :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E2632-A3D4-4D68-8A1D-29F9DF4B6FEC}">
  <sheetPr>
    <tabColor rgb="FF92D050"/>
  </sheetPr>
  <dimension ref="A1:K43"/>
  <sheetViews>
    <sheetView showGridLines="0" topLeftCell="A31" zoomScale="120" zoomScaleNormal="120" workbookViewId="0">
      <selection activeCell="B49" sqref="B49"/>
    </sheetView>
  </sheetViews>
  <sheetFormatPr defaultColWidth="9.140625" defaultRowHeight="13.5"/>
  <cols>
    <col min="1" max="2" width="5.28515625" style="101" customWidth="1"/>
    <col min="3" max="9" width="9.140625" style="101"/>
    <col min="10" max="10" width="13" style="101" customWidth="1"/>
    <col min="11" max="11" width="5.42578125" style="101" customWidth="1"/>
    <col min="12" max="16384" width="9.140625" style="101"/>
  </cols>
  <sheetData>
    <row r="1" spans="1:11">
      <c r="H1" s="101" t="s">
        <v>304</v>
      </c>
    </row>
    <row r="2" spans="1:11">
      <c r="H2" s="101" t="s">
        <v>465</v>
      </c>
    </row>
    <row r="3" spans="1:11">
      <c r="H3" s="101" t="s">
        <v>338</v>
      </c>
    </row>
    <row r="4" spans="1:11">
      <c r="H4" s="101" t="s">
        <v>305</v>
      </c>
    </row>
    <row r="5" spans="1:11">
      <c r="H5" s="101" t="s">
        <v>306</v>
      </c>
    </row>
    <row r="6" spans="1:11">
      <c r="H6" s="101" t="s">
        <v>307</v>
      </c>
    </row>
    <row r="7" spans="1:11">
      <c r="H7" s="101" t="s">
        <v>308</v>
      </c>
    </row>
    <row r="8" spans="1:11">
      <c r="H8" s="101" t="s">
        <v>222</v>
      </c>
    </row>
    <row r="10" spans="1:11">
      <c r="A10" s="558" t="s">
        <v>466</v>
      </c>
      <c r="B10" s="558"/>
      <c r="C10" s="558"/>
      <c r="D10" s="558"/>
      <c r="E10" s="558"/>
      <c r="F10" s="558"/>
      <c r="G10" s="558"/>
      <c r="H10" s="558"/>
      <c r="I10" s="558"/>
      <c r="J10" s="558"/>
      <c r="K10" s="558"/>
    </row>
    <row r="11" spans="1:11">
      <c r="A11" s="558" t="s">
        <v>309</v>
      </c>
      <c r="B11" s="558"/>
      <c r="C11" s="558"/>
      <c r="D11" s="558"/>
      <c r="E11" s="558"/>
      <c r="F11" s="558"/>
      <c r="G11" s="558"/>
      <c r="H11" s="558"/>
      <c r="I11" s="558"/>
      <c r="J11" s="558"/>
      <c r="K11" s="558"/>
    </row>
    <row r="12" spans="1:11">
      <c r="A12" s="558" t="s">
        <v>339</v>
      </c>
      <c r="B12" s="558"/>
      <c r="C12" s="558"/>
      <c r="D12" s="558"/>
      <c r="E12" s="558"/>
      <c r="F12" s="558"/>
      <c r="G12" s="558"/>
      <c r="H12" s="558"/>
      <c r="I12" s="558"/>
      <c r="J12" s="558"/>
      <c r="K12" s="558"/>
    </row>
    <row r="13" spans="1:11">
      <c r="A13" s="102"/>
      <c r="B13" s="102"/>
      <c r="C13" s="102"/>
      <c r="D13" s="102"/>
      <c r="E13" s="102"/>
      <c r="F13" s="102"/>
      <c r="G13" s="102"/>
      <c r="H13" s="102"/>
      <c r="I13" s="102"/>
      <c r="J13" s="102"/>
      <c r="K13" s="102"/>
    </row>
    <row r="14" spans="1:11">
      <c r="A14" s="558" t="s">
        <v>310</v>
      </c>
      <c r="B14" s="558"/>
      <c r="C14" s="558"/>
      <c r="D14" s="558"/>
      <c r="E14" s="558"/>
      <c r="F14" s="558"/>
      <c r="G14" s="558"/>
      <c r="H14" s="558"/>
      <c r="I14" s="558"/>
      <c r="J14" s="558"/>
      <c r="K14" s="558"/>
    </row>
    <row r="16" spans="1:11">
      <c r="J16" s="559" t="s">
        <v>311</v>
      </c>
      <c r="K16" s="559"/>
    </row>
    <row r="17" spans="1:3">
      <c r="A17" s="101" t="s">
        <v>312</v>
      </c>
      <c r="B17" s="101" t="s">
        <v>313</v>
      </c>
    </row>
    <row r="18" spans="1:3">
      <c r="A18" s="101" t="s">
        <v>314</v>
      </c>
      <c r="B18" s="101" t="s">
        <v>315</v>
      </c>
    </row>
    <row r="19" spans="1:3">
      <c r="B19" s="101" t="s">
        <v>1</v>
      </c>
      <c r="C19" s="101" t="s">
        <v>2</v>
      </c>
    </row>
    <row r="20" spans="1:3">
      <c r="B20" s="101" t="s">
        <v>7</v>
      </c>
      <c r="C20" s="101" t="s">
        <v>8</v>
      </c>
    </row>
    <row r="21" spans="1:3">
      <c r="B21" s="101" t="s">
        <v>316</v>
      </c>
      <c r="C21" s="101" t="s">
        <v>317</v>
      </c>
    </row>
    <row r="22" spans="1:3">
      <c r="C22" s="101" t="s">
        <v>318</v>
      </c>
    </row>
    <row r="23" spans="1:3">
      <c r="C23" s="101" t="s">
        <v>319</v>
      </c>
    </row>
    <row r="24" spans="1:3">
      <c r="C24" s="101" t="s">
        <v>320</v>
      </c>
    </row>
    <row r="25" spans="1:3">
      <c r="C25" s="101" t="s">
        <v>321</v>
      </c>
    </row>
    <row r="26" spans="1:3">
      <c r="C26" s="101" t="s">
        <v>322</v>
      </c>
    </row>
    <row r="27" spans="1:3">
      <c r="C27" s="101" t="s">
        <v>323</v>
      </c>
    </row>
    <row r="28" spans="1:3">
      <c r="C28" s="101" t="s">
        <v>324</v>
      </c>
    </row>
    <row r="29" spans="1:3">
      <c r="C29" s="101" t="s">
        <v>325</v>
      </c>
    </row>
    <row r="30" spans="1:3">
      <c r="C30" s="101" t="s">
        <v>326</v>
      </c>
    </row>
    <row r="31" spans="1:3">
      <c r="C31" s="101" t="s">
        <v>327</v>
      </c>
    </row>
    <row r="32" spans="1:3">
      <c r="C32" s="101" t="s">
        <v>328</v>
      </c>
    </row>
    <row r="33" spans="2:3">
      <c r="C33" s="101" t="s">
        <v>329</v>
      </c>
    </row>
    <row r="34" spans="2:3">
      <c r="C34" s="101" t="s">
        <v>330</v>
      </c>
    </row>
    <row r="35" spans="2:3">
      <c r="C35" s="101" t="s">
        <v>331</v>
      </c>
    </row>
    <row r="36" spans="2:3">
      <c r="C36" s="101" t="s">
        <v>332</v>
      </c>
    </row>
    <row r="37" spans="2:3">
      <c r="C37" s="101" t="s">
        <v>333</v>
      </c>
    </row>
    <row r="38" spans="2:3">
      <c r="C38" s="101" t="s">
        <v>334</v>
      </c>
    </row>
    <row r="39" spans="2:3">
      <c r="C39" s="101" t="s">
        <v>335</v>
      </c>
    </row>
    <row r="41" spans="2:3">
      <c r="B41" s="101" t="s">
        <v>336</v>
      </c>
    </row>
    <row r="42" spans="2:3">
      <c r="C42" s="101" t="s">
        <v>337</v>
      </c>
    </row>
    <row r="43" spans="2:3">
      <c r="C43" s="101" t="s">
        <v>467</v>
      </c>
    </row>
  </sheetData>
  <mergeCells count="5">
    <mergeCell ref="A10:K10"/>
    <mergeCell ref="A11:K11"/>
    <mergeCell ref="A12:K12"/>
    <mergeCell ref="A14:K14"/>
    <mergeCell ref="J16:K16"/>
  </mergeCells>
  <pageMargins left="0.78740157480314965" right="0.39370078740157483" top="0.74803149606299213" bottom="0.74803149606299213" header="0.31496062992125984" footer="0.31496062992125984"/>
  <pageSetup paperSize="11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C767E-D11D-4811-A116-434AEFD30B23}">
  <sheetPr>
    <tabColor rgb="FFFF0000"/>
  </sheetPr>
  <dimension ref="A1:K47"/>
  <sheetViews>
    <sheetView showGridLines="0" topLeftCell="C1" zoomScaleNormal="100" workbookViewId="0">
      <selection activeCell="E29" sqref="E29"/>
    </sheetView>
  </sheetViews>
  <sheetFormatPr defaultColWidth="9.140625" defaultRowHeight="12.75"/>
  <cols>
    <col min="1" max="1" width="3.28515625" style="42" customWidth="1"/>
    <col min="2" max="2" width="47.140625" style="42" customWidth="1"/>
    <col min="3" max="3" width="8.42578125" style="45" customWidth="1"/>
    <col min="4" max="4" width="19.42578125" style="97" customWidth="1"/>
    <col min="5" max="5" width="20.42578125" style="97" customWidth="1"/>
    <col min="6" max="6" width="19.7109375" style="97" customWidth="1"/>
    <col min="7" max="7" width="9.140625" style="42"/>
    <col min="8" max="8" width="19.85546875" style="43" bestFit="1" customWidth="1"/>
    <col min="9" max="9" width="19.85546875" style="44" bestFit="1" customWidth="1"/>
    <col min="10" max="10" width="26.5703125" style="44" customWidth="1"/>
    <col min="11" max="11" width="18.5703125" style="42" customWidth="1"/>
    <col min="12" max="16384" width="9.140625" style="42"/>
  </cols>
  <sheetData>
    <row r="1" spans="1:11" ht="14.25">
      <c r="A1" s="562" t="s">
        <v>276</v>
      </c>
      <c r="B1" s="562"/>
      <c r="C1" s="562"/>
      <c r="D1" s="562"/>
      <c r="E1" s="562"/>
      <c r="F1" s="562"/>
    </row>
    <row r="2" spans="1:11" ht="14.25">
      <c r="A2" s="562" t="s">
        <v>468</v>
      </c>
      <c r="B2" s="562"/>
      <c r="C2" s="562"/>
      <c r="D2" s="562"/>
      <c r="E2" s="562"/>
      <c r="F2" s="562"/>
    </row>
    <row r="3" spans="1:11" ht="14.25">
      <c r="A3" s="562" t="s">
        <v>469</v>
      </c>
      <c r="B3" s="562"/>
      <c r="C3" s="562"/>
      <c r="D3" s="562"/>
      <c r="E3" s="562"/>
      <c r="F3" s="562"/>
    </row>
    <row r="4" spans="1:11" ht="14.25">
      <c r="A4" s="562" t="s">
        <v>277</v>
      </c>
      <c r="B4" s="562"/>
      <c r="C4" s="562"/>
      <c r="D4" s="562"/>
      <c r="E4" s="562"/>
      <c r="F4" s="562"/>
    </row>
    <row r="5" spans="1:11" ht="14.25">
      <c r="A5" s="562" t="s">
        <v>222</v>
      </c>
      <c r="B5" s="562"/>
      <c r="C5" s="562"/>
      <c r="D5" s="562"/>
      <c r="E5" s="562"/>
      <c r="F5" s="562"/>
    </row>
    <row r="6" spans="1:11">
      <c r="A6" s="45"/>
      <c r="B6" s="45"/>
      <c r="D6" s="46"/>
      <c r="E6" s="46"/>
      <c r="F6" s="46"/>
    </row>
    <row r="8" spans="1:11" ht="32.25" customHeight="1">
      <c r="A8" s="563" t="s">
        <v>278</v>
      </c>
      <c r="B8" s="564"/>
      <c r="C8" s="47" t="s">
        <v>279</v>
      </c>
      <c r="D8" s="48" t="s">
        <v>43</v>
      </c>
      <c r="E8" s="48" t="s">
        <v>44</v>
      </c>
      <c r="F8" s="49" t="s">
        <v>280</v>
      </c>
    </row>
    <row r="9" spans="1:11" ht="15.75" customHeight="1">
      <c r="A9" s="50" t="s">
        <v>281</v>
      </c>
      <c r="B9" s="51"/>
      <c r="C9" s="52"/>
      <c r="D9" s="53"/>
      <c r="E9" s="53"/>
      <c r="F9" s="53"/>
      <c r="H9" s="54"/>
      <c r="I9" s="55"/>
    </row>
    <row r="10" spans="1:11" ht="15.75" customHeight="1">
      <c r="A10" s="56"/>
      <c r="B10" s="57" t="s">
        <v>282</v>
      </c>
      <c r="C10" s="58"/>
      <c r="D10" s="59">
        <f>CALK!J63</f>
        <v>72542000</v>
      </c>
      <c r="E10" s="59">
        <f>CALK!O63</f>
        <v>74616000</v>
      </c>
      <c r="F10" s="60">
        <f>E10-D10</f>
        <v>2074000</v>
      </c>
      <c r="I10" s="61"/>
      <c r="J10" s="62"/>
    </row>
    <row r="11" spans="1:11" ht="15.75" customHeight="1">
      <c r="A11" s="56"/>
      <c r="B11" s="57" t="s">
        <v>283</v>
      </c>
      <c r="C11" s="58"/>
      <c r="D11" s="59"/>
      <c r="E11" s="59"/>
      <c r="F11" s="60"/>
      <c r="H11" s="63"/>
      <c r="J11" s="62"/>
    </row>
    <row r="12" spans="1:11" ht="15.75" customHeight="1">
      <c r="A12" s="56"/>
      <c r="B12" s="57" t="s">
        <v>284</v>
      </c>
      <c r="C12" s="58"/>
      <c r="D12" s="59">
        <f>CALK!H90</f>
        <v>1316134000</v>
      </c>
      <c r="E12" s="59">
        <f>CALK!M90</f>
        <v>1316134000</v>
      </c>
      <c r="F12" s="60">
        <f t="shared" ref="F12:F18" si="0">E12-D12</f>
        <v>0</v>
      </c>
      <c r="I12" s="62"/>
      <c r="J12" s="62"/>
      <c r="K12" s="64"/>
    </row>
    <row r="13" spans="1:11" ht="15.75" customHeight="1">
      <c r="A13" s="56"/>
      <c r="B13" s="57" t="s">
        <v>285</v>
      </c>
      <c r="C13" s="58"/>
      <c r="D13" s="59">
        <f>CALK!H101</f>
        <v>135940700</v>
      </c>
      <c r="E13" s="65">
        <f>CALK!M101</f>
        <v>135940700</v>
      </c>
      <c r="F13" s="60">
        <f t="shared" si="0"/>
        <v>0</v>
      </c>
      <c r="I13" s="66"/>
      <c r="J13" s="62"/>
    </row>
    <row r="14" spans="1:11" ht="15.75" customHeight="1">
      <c r="A14" s="56"/>
      <c r="B14" s="57" t="s">
        <v>286</v>
      </c>
      <c r="C14" s="58"/>
      <c r="D14" s="59">
        <f>CALK!H115</f>
        <v>738763400</v>
      </c>
      <c r="E14" s="59">
        <f>CALK!M115</f>
        <v>734810200</v>
      </c>
      <c r="F14" s="60">
        <f t="shared" si="0"/>
        <v>-3953200</v>
      </c>
      <c r="I14" s="62"/>
      <c r="J14" s="62"/>
      <c r="K14" s="67"/>
    </row>
    <row r="15" spans="1:11" ht="15.75" customHeight="1">
      <c r="A15" s="56"/>
      <c r="B15" s="57" t="s">
        <v>287</v>
      </c>
      <c r="C15" s="58"/>
      <c r="D15" s="59">
        <f>CALK!H124</f>
        <v>220000000</v>
      </c>
      <c r="E15" s="59">
        <f>CALK!M124</f>
        <v>220000000</v>
      </c>
      <c r="F15" s="60">
        <f t="shared" si="0"/>
        <v>0</v>
      </c>
      <c r="J15" s="62"/>
    </row>
    <row r="16" spans="1:11" ht="15.75" customHeight="1">
      <c r="A16" s="56"/>
      <c r="B16" s="57" t="s">
        <v>288</v>
      </c>
      <c r="C16" s="58"/>
      <c r="D16" s="99">
        <f>CALK!H134</f>
        <v>0</v>
      </c>
      <c r="E16" s="99">
        <f>CALK!M134</f>
        <v>0</v>
      </c>
      <c r="F16" s="60">
        <f t="shared" si="0"/>
        <v>0</v>
      </c>
      <c r="J16" s="62"/>
    </row>
    <row r="17" spans="1:10" ht="15.75" customHeight="1">
      <c r="A17" s="56"/>
      <c r="B17" s="57" t="s">
        <v>289</v>
      </c>
      <c r="C17" s="58"/>
      <c r="D17" s="59">
        <f>CALK!J149</f>
        <v>18600000</v>
      </c>
      <c r="E17" s="59">
        <f>CALK!O149</f>
        <v>16260209</v>
      </c>
      <c r="F17" s="60">
        <f t="shared" si="0"/>
        <v>-2339791</v>
      </c>
      <c r="G17" s="68"/>
      <c r="I17" s="62"/>
      <c r="J17" s="62"/>
    </row>
    <row r="18" spans="1:10" ht="15.75" customHeight="1">
      <c r="A18" s="56"/>
      <c r="B18" s="57" t="s">
        <v>290</v>
      </c>
      <c r="C18" s="58"/>
      <c r="D18" s="99">
        <v>0</v>
      </c>
      <c r="E18" s="99">
        <v>0</v>
      </c>
      <c r="F18" s="60">
        <f t="shared" si="0"/>
        <v>0</v>
      </c>
    </row>
    <row r="19" spans="1:10" ht="15.75" customHeight="1">
      <c r="A19" s="69"/>
      <c r="B19" s="70"/>
      <c r="C19" s="71"/>
      <c r="D19" s="72"/>
      <c r="E19" s="72"/>
      <c r="F19" s="72"/>
    </row>
    <row r="20" spans="1:10" ht="15.75" customHeight="1">
      <c r="A20" s="73"/>
      <c r="B20" s="74" t="s">
        <v>291</v>
      </c>
      <c r="C20" s="75"/>
      <c r="D20" s="76">
        <f>SUM(D10:D18)</f>
        <v>2501980100</v>
      </c>
      <c r="E20" s="76">
        <f>SUM(E10:E18)</f>
        <v>2497761109</v>
      </c>
      <c r="F20" s="76">
        <f>E20-D20</f>
        <v>-4218991</v>
      </c>
      <c r="I20" s="62"/>
      <c r="J20" s="62"/>
    </row>
    <row r="21" spans="1:10" ht="15.75" customHeight="1">
      <c r="A21" s="50"/>
      <c r="B21" s="51"/>
      <c r="C21" s="52"/>
      <c r="D21" s="53"/>
      <c r="E21" s="53"/>
      <c r="F21" s="53"/>
    </row>
    <row r="22" spans="1:10" ht="15.75" customHeight="1">
      <c r="A22" s="56" t="s">
        <v>292</v>
      </c>
      <c r="B22" s="57"/>
      <c r="C22" s="58"/>
      <c r="D22" s="60"/>
      <c r="E22" s="60"/>
      <c r="F22" s="60"/>
    </row>
    <row r="23" spans="1:10" ht="15.75" customHeight="1">
      <c r="A23" s="56"/>
      <c r="B23" s="57" t="s">
        <v>293</v>
      </c>
      <c r="C23" s="77"/>
      <c r="D23" s="78">
        <f>CALK!H168</f>
        <v>1046803076</v>
      </c>
      <c r="E23" s="79">
        <f>CALK!M168</f>
        <v>925568244</v>
      </c>
      <c r="F23" s="80">
        <f>E23-D23</f>
        <v>-121234832</v>
      </c>
      <c r="H23" s="61"/>
    </row>
    <row r="24" spans="1:10" ht="15.75" customHeight="1">
      <c r="A24" s="56"/>
      <c r="B24" s="57" t="s">
        <v>294</v>
      </c>
      <c r="C24" s="77"/>
      <c r="D24" s="60">
        <f>CALK!H251</f>
        <v>1115911000</v>
      </c>
      <c r="E24" s="81">
        <f>CALK!M251</f>
        <v>1085680000</v>
      </c>
      <c r="F24" s="60">
        <f t="shared" ref="F24:F26" si="1">E24-D24</f>
        <v>-30231000</v>
      </c>
      <c r="H24" s="61"/>
      <c r="I24" s="82"/>
      <c r="J24" s="83"/>
    </row>
    <row r="25" spans="1:10" ht="15.75" customHeight="1">
      <c r="A25" s="56"/>
      <c r="B25" s="57" t="s">
        <v>295</v>
      </c>
      <c r="C25" s="77"/>
      <c r="D25" s="60">
        <f>CALK!H296</f>
        <v>80605000</v>
      </c>
      <c r="E25" s="81">
        <f>CALK!M296</f>
        <v>70415000</v>
      </c>
      <c r="F25" s="60">
        <f t="shared" si="1"/>
        <v>-10190000</v>
      </c>
      <c r="H25" s="61"/>
      <c r="I25" s="62"/>
    </row>
    <row r="26" spans="1:10" ht="15.75" customHeight="1">
      <c r="A26" s="56"/>
      <c r="B26" s="57" t="s">
        <v>296</v>
      </c>
      <c r="C26" s="77"/>
      <c r="D26" s="60">
        <f>CALK!H326</f>
        <v>117190000</v>
      </c>
      <c r="E26" s="81">
        <f>CALK!M326</f>
        <v>110260000</v>
      </c>
      <c r="F26" s="60">
        <f t="shared" si="1"/>
        <v>-6930000</v>
      </c>
      <c r="I26" s="62"/>
    </row>
    <row r="27" spans="1:10" ht="15.75" customHeight="1">
      <c r="A27" s="56"/>
      <c r="B27" s="57" t="s">
        <v>297</v>
      </c>
      <c r="C27" s="77"/>
      <c r="D27" s="60"/>
      <c r="E27" s="60"/>
      <c r="F27" s="60"/>
    </row>
    <row r="28" spans="1:10" ht="15.75" customHeight="1">
      <c r="A28" s="56"/>
      <c r="B28" s="57" t="s">
        <v>298</v>
      </c>
      <c r="C28" s="77"/>
      <c r="D28" s="60">
        <f>CALK!H348</f>
        <v>36600000</v>
      </c>
      <c r="E28" s="60">
        <f>CALK!M348</f>
        <v>21600000</v>
      </c>
      <c r="F28" s="60">
        <f>E28-D28</f>
        <v>-15000000</v>
      </c>
      <c r="H28" s="61"/>
    </row>
    <row r="29" spans="1:10" ht="15.75" customHeight="1">
      <c r="A29" s="69"/>
      <c r="B29" s="70"/>
      <c r="C29" s="84"/>
      <c r="D29" s="72"/>
      <c r="E29" s="72"/>
      <c r="F29" s="72"/>
    </row>
    <row r="30" spans="1:10" ht="15.75" customHeight="1">
      <c r="A30" s="73"/>
      <c r="B30" s="74" t="s">
        <v>299</v>
      </c>
      <c r="C30" s="75"/>
      <c r="D30" s="76">
        <f>SUM(D23:D28)</f>
        <v>2397109076</v>
      </c>
      <c r="E30" s="76">
        <f>SUM(E23:E28)</f>
        <v>2213523244</v>
      </c>
      <c r="F30" s="85">
        <f>E30-D30</f>
        <v>-183585832</v>
      </c>
    </row>
    <row r="31" spans="1:10" ht="17.25" customHeight="1">
      <c r="A31" s="73"/>
      <c r="B31" s="74" t="s">
        <v>300</v>
      </c>
      <c r="C31" s="75"/>
      <c r="D31" s="85">
        <f>D20-D30</f>
        <v>104871024</v>
      </c>
      <c r="E31" s="85">
        <f>E20-E30</f>
        <v>284237865</v>
      </c>
      <c r="F31" s="85">
        <f>E31-D31</f>
        <v>179366841</v>
      </c>
      <c r="I31" s="62"/>
    </row>
    <row r="32" spans="1:10" ht="15.75" customHeight="1">
      <c r="A32" s="50"/>
      <c r="B32" s="51"/>
      <c r="C32" s="52"/>
      <c r="D32" s="53"/>
      <c r="E32" s="53"/>
      <c r="F32" s="53"/>
    </row>
    <row r="33" spans="1:10" ht="15.75" customHeight="1">
      <c r="A33" s="56" t="s">
        <v>301</v>
      </c>
      <c r="B33" s="57"/>
      <c r="C33" s="58"/>
      <c r="D33" s="60"/>
      <c r="E33" s="60"/>
      <c r="F33" s="60"/>
    </row>
    <row r="34" spans="1:10" ht="15.75" customHeight="1">
      <c r="A34" s="56"/>
      <c r="B34" s="57" t="s">
        <v>191</v>
      </c>
      <c r="C34" s="58"/>
      <c r="D34" s="60">
        <f>CALK!H463</f>
        <v>160128976</v>
      </c>
      <c r="E34" s="60">
        <f>CALK!M463</f>
        <v>160128976</v>
      </c>
      <c r="F34" s="60">
        <f>E34-D34</f>
        <v>0</v>
      </c>
    </row>
    <row r="35" spans="1:10" ht="15.75" customHeight="1">
      <c r="A35" s="69"/>
      <c r="B35" s="70" t="s">
        <v>192</v>
      </c>
      <c r="C35" s="71"/>
      <c r="D35" s="60">
        <f>CALK!H481</f>
        <v>265000000</v>
      </c>
      <c r="E35" s="72">
        <f>CALK!M481</f>
        <v>265000000</v>
      </c>
      <c r="F35" s="72">
        <f>E35-D35</f>
        <v>0</v>
      </c>
    </row>
    <row r="36" spans="1:10" ht="15.75" customHeight="1">
      <c r="A36" s="73"/>
      <c r="B36" s="74" t="s">
        <v>302</v>
      </c>
      <c r="C36" s="75"/>
      <c r="D36" s="76">
        <f>D34-D35</f>
        <v>-104871024</v>
      </c>
      <c r="E36" s="76">
        <f>E34-E35</f>
        <v>-104871024</v>
      </c>
      <c r="F36" s="76">
        <f>E36-D36</f>
        <v>0</v>
      </c>
    </row>
    <row r="37" spans="1:10" ht="15.75" customHeight="1">
      <c r="A37" s="560" t="s">
        <v>303</v>
      </c>
      <c r="B37" s="561"/>
      <c r="C37" s="75"/>
      <c r="D37" s="76">
        <f>SUM(D31+D36)</f>
        <v>0</v>
      </c>
      <c r="E37" s="76">
        <f>SUM(E31+E36)</f>
        <v>179366841</v>
      </c>
      <c r="F37" s="100">
        <f>F31+F36</f>
        <v>179366841</v>
      </c>
      <c r="I37" s="66"/>
    </row>
    <row r="38" spans="1:10" ht="15.75" customHeight="1">
      <c r="A38" s="86"/>
      <c r="B38" s="87"/>
      <c r="C38" s="88"/>
      <c r="D38" s="89"/>
      <c r="E38" s="89"/>
      <c r="F38" s="90"/>
      <c r="I38" s="91"/>
    </row>
    <row r="39" spans="1:10" s="92" customFormat="1">
      <c r="B39" s="92" t="s">
        <v>464</v>
      </c>
      <c r="C39" s="93"/>
      <c r="D39" s="94"/>
      <c r="E39" s="94"/>
      <c r="F39" s="94"/>
      <c r="H39" s="95"/>
      <c r="I39" s="96"/>
      <c r="J39" s="96"/>
    </row>
    <row r="41" spans="1:10">
      <c r="E41" s="98" t="s">
        <v>561</v>
      </c>
    </row>
    <row r="42" spans="1:10">
      <c r="E42" s="98" t="s">
        <v>491</v>
      </c>
    </row>
    <row r="43" spans="1:10">
      <c r="E43" s="98"/>
    </row>
    <row r="44" spans="1:10">
      <c r="E44" s="98"/>
    </row>
    <row r="45" spans="1:10">
      <c r="E45" s="98"/>
    </row>
    <row r="46" spans="1:10">
      <c r="E46" s="98"/>
    </row>
    <row r="47" spans="1:10">
      <c r="E47" s="98" t="s">
        <v>560</v>
      </c>
    </row>
  </sheetData>
  <mergeCells count="7">
    <mergeCell ref="A37:B37"/>
    <mergeCell ref="A1:F1"/>
    <mergeCell ref="A2:F2"/>
    <mergeCell ref="A3:F3"/>
    <mergeCell ref="A4:F4"/>
    <mergeCell ref="A5:F5"/>
    <mergeCell ref="A8:B8"/>
  </mergeCells>
  <printOptions horizontalCentered="1"/>
  <pageMargins left="0.59055118110236227" right="0.39370078740157483" top="0.55118110236220474" bottom="0.55118110236220474" header="0.31496062992125984" footer="0.31496062992125984"/>
  <pageSetup paperSize="14" scale="80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BDB27-4A18-40B4-B131-D845167BBDB6}">
  <sheetPr>
    <tabColor theme="8"/>
  </sheetPr>
  <dimension ref="A1:AD870"/>
  <sheetViews>
    <sheetView showGridLines="0" zoomScale="90" zoomScaleNormal="90" workbookViewId="0">
      <selection activeCell="V10" sqref="V10"/>
    </sheetView>
  </sheetViews>
  <sheetFormatPr defaultColWidth="9.140625" defaultRowHeight="14.25"/>
  <cols>
    <col min="1" max="2" width="4.5703125" style="1" customWidth="1"/>
    <col min="3" max="3" width="4.7109375" style="1" customWidth="1"/>
    <col min="4" max="10" width="5.28515625" style="1" customWidth="1"/>
    <col min="11" max="24" width="4.42578125" style="1" customWidth="1"/>
    <col min="25" max="25" width="4.5703125" style="1" customWidth="1"/>
    <col min="26" max="26" width="26.42578125" style="1" customWidth="1"/>
    <col min="27" max="27" width="4.5703125" style="1" customWidth="1"/>
    <col min="28" max="28" width="17.85546875" style="1" customWidth="1"/>
    <col min="29" max="33" width="4.5703125" style="1" customWidth="1"/>
    <col min="34" max="16384" width="9.140625" style="1"/>
  </cols>
  <sheetData>
    <row r="1" spans="1:24" ht="16.5" customHeight="1">
      <c r="A1" s="647" t="s">
        <v>0</v>
      </c>
      <c r="B1" s="647"/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647"/>
      <c r="Q1" s="647"/>
      <c r="R1" s="647"/>
      <c r="S1" s="647"/>
      <c r="T1" s="647"/>
      <c r="U1" s="647"/>
      <c r="V1" s="647"/>
      <c r="W1" s="647"/>
      <c r="X1" s="647"/>
    </row>
    <row r="2" spans="1:24" ht="16.5" customHeight="1">
      <c r="A2" s="647" t="s">
        <v>470</v>
      </c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</row>
    <row r="3" spans="1:24" ht="16.5" customHeight="1">
      <c r="A3" s="647" t="s">
        <v>222</v>
      </c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7"/>
      <c r="V3" s="647"/>
      <c r="W3" s="647"/>
      <c r="X3" s="647"/>
    </row>
    <row r="4" spans="1:24" ht="16.5" customHeight="1"/>
    <row r="5" spans="1:24" ht="16.5" customHeight="1">
      <c r="A5" s="1" t="s">
        <v>1</v>
      </c>
      <c r="B5" s="1" t="s">
        <v>2</v>
      </c>
    </row>
    <row r="6" spans="1:24" ht="16.5" customHeight="1">
      <c r="B6" s="1" t="s">
        <v>472</v>
      </c>
    </row>
    <row r="7" spans="1:24" ht="16.5" customHeight="1">
      <c r="B7" s="1" t="s">
        <v>471</v>
      </c>
    </row>
    <row r="8" spans="1:24" ht="16.5" customHeight="1">
      <c r="B8" s="1" t="s">
        <v>487</v>
      </c>
    </row>
    <row r="9" spans="1:24" ht="16.5" customHeight="1">
      <c r="B9" s="1" t="s">
        <v>3</v>
      </c>
      <c r="G9" s="2" t="s">
        <v>6</v>
      </c>
      <c r="H9" s="1" t="s">
        <v>473</v>
      </c>
    </row>
    <row r="10" spans="1:24" ht="16.5" customHeight="1">
      <c r="B10" s="1" t="s">
        <v>4</v>
      </c>
      <c r="G10" s="2" t="s">
        <v>6</v>
      </c>
      <c r="H10" s="1" t="s">
        <v>474</v>
      </c>
    </row>
    <row r="11" spans="1:24" ht="16.5" customHeight="1">
      <c r="B11" s="1" t="s">
        <v>5</v>
      </c>
      <c r="G11" s="2" t="s">
        <v>6</v>
      </c>
      <c r="H11" s="1" t="s">
        <v>475</v>
      </c>
    </row>
    <row r="12" spans="1:24" ht="16.5" customHeight="1">
      <c r="B12" s="1" t="s">
        <v>476</v>
      </c>
    </row>
    <row r="13" spans="1:24" ht="16.5" customHeight="1">
      <c r="B13" s="1" t="s">
        <v>477</v>
      </c>
    </row>
    <row r="14" spans="1:24" ht="16.5" customHeight="1">
      <c r="A14" s="1" t="s">
        <v>7</v>
      </c>
      <c r="B14" s="1" t="s">
        <v>8</v>
      </c>
    </row>
    <row r="15" spans="1:24" ht="16.5" customHeight="1">
      <c r="B15" s="1" t="s">
        <v>62</v>
      </c>
    </row>
    <row r="16" spans="1:24" ht="16.5" customHeight="1">
      <c r="B16" s="1" t="s">
        <v>9</v>
      </c>
    </row>
    <row r="17" spans="2:24" ht="16.5" customHeight="1">
      <c r="B17" s="1" t="s">
        <v>10</v>
      </c>
    </row>
    <row r="18" spans="2:24" ht="16.5" customHeight="1">
      <c r="B18" s="1" t="s">
        <v>11</v>
      </c>
      <c r="C18" s="1" t="s">
        <v>12</v>
      </c>
    </row>
    <row r="19" spans="2:24" s="4" customFormat="1" ht="31.5" customHeight="1">
      <c r="C19" s="9" t="s">
        <v>16</v>
      </c>
      <c r="D19" s="621" t="s">
        <v>17</v>
      </c>
      <c r="E19" s="622"/>
      <c r="F19" s="622"/>
      <c r="G19" s="622"/>
      <c r="H19" s="622"/>
      <c r="I19" s="622"/>
      <c r="J19" s="622"/>
      <c r="K19" s="622"/>
      <c r="L19" s="622"/>
      <c r="M19" s="622"/>
      <c r="N19" s="622"/>
      <c r="O19" s="622"/>
      <c r="P19" s="622"/>
      <c r="Q19" s="622"/>
      <c r="R19" s="623">
        <v>160128976</v>
      </c>
      <c r="S19" s="623"/>
      <c r="T19" s="623"/>
      <c r="U19" s="623"/>
      <c r="V19" s="623"/>
      <c r="W19" s="623"/>
      <c r="X19" s="623"/>
    </row>
    <row r="20" spans="2:24" ht="16.5" customHeight="1"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7"/>
    </row>
    <row r="21" spans="2:24" s="4" customFormat="1" ht="16.5" customHeight="1">
      <c r="C21" s="588" t="s">
        <v>20</v>
      </c>
      <c r="D21" s="589"/>
      <c r="E21" s="589"/>
      <c r="F21" s="589"/>
      <c r="G21" s="589"/>
      <c r="H21" s="589"/>
      <c r="I21" s="589"/>
      <c r="J21" s="589"/>
      <c r="K21" s="589"/>
      <c r="L21" s="589"/>
      <c r="M21" s="589"/>
      <c r="N21" s="589"/>
      <c r="O21" s="589"/>
      <c r="P21" s="589"/>
      <c r="Q21" s="590"/>
      <c r="R21" s="577"/>
      <c r="S21" s="577"/>
      <c r="T21" s="577"/>
      <c r="U21" s="577"/>
      <c r="V21" s="577"/>
      <c r="W21" s="577"/>
      <c r="X21" s="577"/>
    </row>
    <row r="22" spans="2:24" s="3" customFormat="1" ht="48" customHeight="1">
      <c r="C22" s="11" t="s">
        <v>11</v>
      </c>
      <c r="D22" s="608" t="s">
        <v>77</v>
      </c>
      <c r="E22" s="569"/>
      <c r="F22" s="569"/>
      <c r="G22" s="569"/>
      <c r="H22" s="569"/>
      <c r="I22" s="569"/>
      <c r="J22" s="569"/>
      <c r="K22" s="627">
        <v>0</v>
      </c>
      <c r="L22" s="627"/>
      <c r="M22" s="627"/>
      <c r="N22" s="627"/>
      <c r="O22" s="627"/>
      <c r="P22" s="627"/>
      <c r="Q22" s="627"/>
      <c r="R22" s="627"/>
      <c r="S22" s="627"/>
      <c r="T22" s="627"/>
      <c r="U22" s="627"/>
      <c r="V22" s="627"/>
      <c r="W22" s="627"/>
      <c r="X22" s="627"/>
    </row>
    <row r="23" spans="2:24" s="3" customFormat="1" ht="32.25" customHeight="1">
      <c r="C23" s="11" t="s">
        <v>13</v>
      </c>
      <c r="D23" s="608" t="s">
        <v>78</v>
      </c>
      <c r="E23" s="569"/>
      <c r="F23" s="569"/>
      <c r="G23" s="569"/>
      <c r="H23" s="569"/>
      <c r="I23" s="569"/>
      <c r="J23" s="569"/>
      <c r="K23" s="627">
        <v>94223196</v>
      </c>
      <c r="L23" s="627"/>
      <c r="M23" s="627"/>
      <c r="N23" s="627"/>
      <c r="O23" s="627"/>
      <c r="P23" s="627"/>
      <c r="Q23" s="627"/>
      <c r="R23" s="627"/>
      <c r="S23" s="627"/>
      <c r="T23" s="627"/>
      <c r="U23" s="627"/>
      <c r="V23" s="627"/>
      <c r="W23" s="627"/>
      <c r="X23" s="627"/>
    </row>
    <row r="24" spans="2:24" s="3" customFormat="1" ht="32.25" customHeight="1">
      <c r="C24" s="11" t="s">
        <v>14</v>
      </c>
      <c r="D24" s="608" t="s">
        <v>15</v>
      </c>
      <c r="E24" s="569"/>
      <c r="F24" s="569"/>
      <c r="G24" s="569"/>
      <c r="H24" s="569"/>
      <c r="I24" s="569"/>
      <c r="J24" s="569"/>
      <c r="K24" s="627">
        <f>K23</f>
        <v>94223196</v>
      </c>
      <c r="L24" s="627"/>
      <c r="M24" s="627"/>
      <c r="N24" s="627"/>
      <c r="O24" s="627"/>
      <c r="P24" s="627"/>
      <c r="Q24" s="627"/>
      <c r="R24" s="627"/>
      <c r="S24" s="627"/>
      <c r="T24" s="627"/>
      <c r="U24" s="627"/>
      <c r="V24" s="627"/>
      <c r="W24" s="627"/>
      <c r="X24" s="627"/>
    </row>
    <row r="25" spans="2:24" s="3" customFormat="1" ht="32.25" customHeight="1">
      <c r="C25" s="11" t="s">
        <v>57</v>
      </c>
      <c r="D25" s="608" t="s">
        <v>223</v>
      </c>
      <c r="E25" s="569"/>
      <c r="F25" s="569"/>
      <c r="G25" s="569"/>
      <c r="H25" s="569"/>
      <c r="I25" s="569"/>
      <c r="J25" s="569"/>
      <c r="K25" s="627">
        <v>0</v>
      </c>
      <c r="L25" s="627"/>
      <c r="M25" s="627"/>
      <c r="N25" s="627"/>
      <c r="O25" s="627"/>
      <c r="P25" s="627"/>
      <c r="Q25" s="627"/>
      <c r="R25" s="627"/>
      <c r="S25" s="627"/>
      <c r="T25" s="627"/>
      <c r="U25" s="627"/>
      <c r="V25" s="627"/>
      <c r="W25" s="627"/>
      <c r="X25" s="627"/>
    </row>
    <row r="26" spans="2:24" ht="16.5" customHeight="1">
      <c r="C26" s="10" t="s">
        <v>18</v>
      </c>
      <c r="D26" s="612" t="s">
        <v>19</v>
      </c>
      <c r="E26" s="612"/>
      <c r="F26" s="612"/>
      <c r="G26" s="612"/>
      <c r="H26" s="612"/>
      <c r="I26" s="612"/>
      <c r="J26" s="612"/>
      <c r="K26" s="612"/>
      <c r="L26" s="612"/>
      <c r="M26" s="612"/>
      <c r="N26" s="612"/>
      <c r="O26" s="612"/>
      <c r="P26" s="612"/>
      <c r="Q26" s="613"/>
      <c r="R26" s="624">
        <f>K22+K23-K24</f>
        <v>0</v>
      </c>
      <c r="S26" s="625"/>
      <c r="T26" s="625"/>
      <c r="U26" s="625"/>
      <c r="V26" s="625"/>
      <c r="W26" s="625"/>
      <c r="X26" s="626"/>
    </row>
    <row r="27" spans="2:24" ht="16.5" customHeight="1">
      <c r="C27" s="585"/>
      <c r="D27" s="586"/>
      <c r="E27" s="586"/>
      <c r="F27" s="586"/>
      <c r="G27" s="586"/>
      <c r="H27" s="586"/>
      <c r="I27" s="586"/>
      <c r="J27" s="586"/>
      <c r="K27" s="586"/>
      <c r="L27" s="586"/>
      <c r="M27" s="586"/>
      <c r="N27" s="586"/>
      <c r="O27" s="586"/>
      <c r="P27" s="586"/>
      <c r="Q27" s="587"/>
      <c r="R27" s="585"/>
      <c r="S27" s="586"/>
      <c r="T27" s="586"/>
      <c r="U27" s="586"/>
      <c r="V27" s="586"/>
      <c r="W27" s="586"/>
      <c r="X27" s="587"/>
    </row>
    <row r="28" spans="2:24" s="4" customFormat="1" ht="16.5" customHeight="1">
      <c r="C28" s="588" t="s">
        <v>21</v>
      </c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90"/>
      <c r="R28" s="591"/>
      <c r="S28" s="592"/>
      <c r="T28" s="592"/>
      <c r="U28" s="592"/>
      <c r="V28" s="592"/>
      <c r="W28" s="592"/>
      <c r="X28" s="593"/>
    </row>
    <row r="29" spans="2:24" s="4" customFormat="1" ht="32.25" customHeight="1">
      <c r="C29" s="8" t="s">
        <v>11</v>
      </c>
      <c r="D29" s="589" t="s">
        <v>22</v>
      </c>
      <c r="E29" s="589"/>
      <c r="F29" s="589"/>
      <c r="G29" s="589"/>
      <c r="H29" s="589"/>
      <c r="I29" s="589"/>
      <c r="J29" s="590"/>
      <c r="K29" s="603">
        <v>2497761109</v>
      </c>
      <c r="L29" s="604"/>
      <c r="M29" s="604"/>
      <c r="N29" s="604"/>
      <c r="O29" s="604"/>
      <c r="P29" s="604"/>
      <c r="Q29" s="605"/>
      <c r="R29" s="591"/>
      <c r="S29" s="592"/>
      <c r="T29" s="592"/>
      <c r="U29" s="592"/>
      <c r="V29" s="592"/>
      <c r="W29" s="592"/>
      <c r="X29" s="593"/>
    </row>
    <row r="30" spans="2:24" s="4" customFormat="1" ht="32.25" customHeight="1">
      <c r="C30" s="8" t="s">
        <v>13</v>
      </c>
      <c r="D30" s="607" t="s">
        <v>23</v>
      </c>
      <c r="E30" s="607"/>
      <c r="F30" s="607"/>
      <c r="G30" s="607"/>
      <c r="H30" s="607"/>
      <c r="I30" s="607"/>
      <c r="J30" s="608"/>
      <c r="K30" s="603">
        <v>0</v>
      </c>
      <c r="L30" s="604"/>
      <c r="M30" s="604"/>
      <c r="N30" s="604"/>
      <c r="O30" s="604"/>
      <c r="P30" s="604"/>
      <c r="Q30" s="605"/>
      <c r="R30" s="591"/>
      <c r="S30" s="592"/>
      <c r="T30" s="592"/>
      <c r="U30" s="592"/>
      <c r="V30" s="592"/>
      <c r="W30" s="592"/>
      <c r="X30" s="593"/>
    </row>
    <row r="31" spans="2:24" s="12" customFormat="1" ht="16.5" customHeight="1">
      <c r="C31" s="10" t="s">
        <v>24</v>
      </c>
      <c r="D31" s="612" t="s">
        <v>25</v>
      </c>
      <c r="E31" s="612"/>
      <c r="F31" s="612"/>
      <c r="G31" s="612"/>
      <c r="H31" s="612"/>
      <c r="I31" s="612"/>
      <c r="J31" s="612"/>
      <c r="K31" s="612"/>
      <c r="L31" s="612"/>
      <c r="M31" s="612"/>
      <c r="N31" s="612"/>
      <c r="O31" s="612"/>
      <c r="P31" s="612"/>
      <c r="Q31" s="613"/>
      <c r="R31" s="594">
        <f>K29+K30</f>
        <v>2497761109</v>
      </c>
      <c r="S31" s="595"/>
      <c r="T31" s="595"/>
      <c r="U31" s="595"/>
      <c r="V31" s="595"/>
      <c r="W31" s="595"/>
      <c r="X31" s="596"/>
    </row>
    <row r="32" spans="2:24" ht="16.5" customHeight="1">
      <c r="C32" s="585"/>
      <c r="D32" s="586"/>
      <c r="E32" s="586"/>
      <c r="F32" s="586"/>
      <c r="G32" s="586"/>
      <c r="H32" s="586"/>
      <c r="I32" s="586"/>
      <c r="J32" s="586"/>
      <c r="K32" s="586"/>
      <c r="L32" s="586"/>
      <c r="M32" s="586"/>
      <c r="N32" s="586"/>
      <c r="O32" s="586"/>
      <c r="P32" s="586"/>
      <c r="Q32" s="587"/>
      <c r="R32" s="585"/>
      <c r="S32" s="586"/>
      <c r="T32" s="586"/>
      <c r="U32" s="586"/>
      <c r="V32" s="586"/>
      <c r="W32" s="586"/>
      <c r="X32" s="587"/>
    </row>
    <row r="33" spans="3:24" ht="16.5" customHeight="1">
      <c r="C33" s="597" t="s">
        <v>26</v>
      </c>
      <c r="D33" s="598"/>
      <c r="E33" s="598"/>
      <c r="F33" s="598"/>
      <c r="G33" s="598"/>
      <c r="H33" s="598"/>
      <c r="I33" s="598"/>
      <c r="J33" s="598"/>
      <c r="K33" s="598"/>
      <c r="L33" s="598"/>
      <c r="M33" s="598"/>
      <c r="N33" s="598"/>
      <c r="O33" s="598"/>
      <c r="P33" s="598"/>
      <c r="Q33" s="599"/>
      <c r="R33" s="585"/>
      <c r="S33" s="586"/>
      <c r="T33" s="586"/>
      <c r="U33" s="586"/>
      <c r="V33" s="586"/>
      <c r="W33" s="586"/>
      <c r="X33" s="587"/>
    </row>
    <row r="34" spans="3:24" ht="16.5" customHeight="1">
      <c r="C34" s="5" t="s">
        <v>11</v>
      </c>
      <c r="D34" s="598" t="s">
        <v>27</v>
      </c>
      <c r="E34" s="598"/>
      <c r="F34" s="598"/>
      <c r="G34" s="598"/>
      <c r="H34" s="598"/>
      <c r="I34" s="598"/>
      <c r="J34" s="599"/>
      <c r="K34" s="600">
        <v>2213523244</v>
      </c>
      <c r="L34" s="601"/>
      <c r="M34" s="601"/>
      <c r="N34" s="601"/>
      <c r="O34" s="601"/>
      <c r="P34" s="601"/>
      <c r="Q34" s="602"/>
      <c r="R34" s="585"/>
      <c r="S34" s="586"/>
      <c r="T34" s="586"/>
      <c r="U34" s="586"/>
      <c r="V34" s="586"/>
      <c r="W34" s="586"/>
      <c r="X34" s="587"/>
    </row>
    <row r="35" spans="3:24" ht="16.5" customHeight="1">
      <c r="C35" s="5" t="s">
        <v>13</v>
      </c>
      <c r="D35" s="598" t="s">
        <v>28</v>
      </c>
      <c r="E35" s="598"/>
      <c r="F35" s="598"/>
      <c r="G35" s="598"/>
      <c r="H35" s="598"/>
      <c r="I35" s="598"/>
      <c r="J35" s="599"/>
      <c r="K35" s="600">
        <v>265000000</v>
      </c>
      <c r="L35" s="601"/>
      <c r="M35" s="601"/>
      <c r="N35" s="601"/>
      <c r="O35" s="601"/>
      <c r="P35" s="601"/>
      <c r="Q35" s="602"/>
      <c r="R35" s="585"/>
      <c r="S35" s="586"/>
      <c r="T35" s="586"/>
      <c r="U35" s="586"/>
      <c r="V35" s="586"/>
      <c r="W35" s="586"/>
      <c r="X35" s="587"/>
    </row>
    <row r="36" spans="3:24" s="12" customFormat="1" ht="16.5" customHeight="1">
      <c r="C36" s="10" t="s">
        <v>29</v>
      </c>
      <c r="D36" s="612" t="s">
        <v>30</v>
      </c>
      <c r="E36" s="612"/>
      <c r="F36" s="612"/>
      <c r="G36" s="612"/>
      <c r="H36" s="612"/>
      <c r="I36" s="612"/>
      <c r="J36" s="612"/>
      <c r="K36" s="612"/>
      <c r="L36" s="612"/>
      <c r="M36" s="612"/>
      <c r="N36" s="612"/>
      <c r="O36" s="612"/>
      <c r="P36" s="612"/>
      <c r="Q36" s="613"/>
      <c r="R36" s="594">
        <f>K34+K35</f>
        <v>2478523244</v>
      </c>
      <c r="S36" s="595"/>
      <c r="T36" s="595"/>
      <c r="U36" s="595"/>
      <c r="V36" s="595"/>
      <c r="W36" s="595"/>
      <c r="X36" s="596"/>
    </row>
    <row r="37" spans="3:24" ht="16.5" customHeight="1">
      <c r="C37" s="585"/>
      <c r="D37" s="586"/>
      <c r="E37" s="586"/>
      <c r="F37" s="586"/>
      <c r="G37" s="586"/>
      <c r="H37" s="586"/>
      <c r="I37" s="586"/>
      <c r="J37" s="586"/>
      <c r="K37" s="586"/>
      <c r="L37" s="586"/>
      <c r="M37" s="586"/>
      <c r="N37" s="586"/>
      <c r="O37" s="586"/>
      <c r="P37" s="586"/>
      <c r="Q37" s="587"/>
      <c r="R37" s="585"/>
      <c r="S37" s="586"/>
      <c r="T37" s="586"/>
      <c r="U37" s="586"/>
      <c r="V37" s="586"/>
      <c r="W37" s="586"/>
      <c r="X37" s="587"/>
    </row>
    <row r="38" spans="3:24" ht="16.5" customHeight="1">
      <c r="C38" s="597" t="s">
        <v>31</v>
      </c>
      <c r="D38" s="598"/>
      <c r="E38" s="598"/>
      <c r="F38" s="598"/>
      <c r="G38" s="598"/>
      <c r="H38" s="598"/>
      <c r="I38" s="598"/>
      <c r="J38" s="598"/>
      <c r="K38" s="598"/>
      <c r="L38" s="598"/>
      <c r="M38" s="598"/>
      <c r="N38" s="598"/>
      <c r="O38" s="598"/>
      <c r="P38" s="598"/>
      <c r="Q38" s="599"/>
      <c r="R38" s="585"/>
      <c r="S38" s="586"/>
      <c r="T38" s="586"/>
      <c r="U38" s="586"/>
      <c r="V38" s="586"/>
      <c r="W38" s="586"/>
      <c r="X38" s="587"/>
    </row>
    <row r="39" spans="3:24" ht="16.5" customHeight="1">
      <c r="C39" s="5" t="s">
        <v>11</v>
      </c>
      <c r="D39" s="598" t="s">
        <v>32</v>
      </c>
      <c r="E39" s="598"/>
      <c r="F39" s="598"/>
      <c r="G39" s="598"/>
      <c r="H39" s="598"/>
      <c r="I39" s="598"/>
      <c r="J39" s="599"/>
      <c r="K39" s="600">
        <v>0</v>
      </c>
      <c r="L39" s="601"/>
      <c r="M39" s="601"/>
      <c r="N39" s="601"/>
      <c r="O39" s="601"/>
      <c r="P39" s="601"/>
      <c r="Q39" s="602"/>
      <c r="R39" s="585"/>
      <c r="S39" s="586"/>
      <c r="T39" s="586"/>
      <c r="U39" s="586"/>
      <c r="V39" s="586"/>
      <c r="W39" s="586"/>
      <c r="X39" s="587"/>
    </row>
    <row r="40" spans="3:24" ht="16.5" customHeight="1">
      <c r="C40" s="5" t="s">
        <v>13</v>
      </c>
      <c r="D40" s="598" t="s">
        <v>33</v>
      </c>
      <c r="E40" s="598"/>
      <c r="F40" s="598"/>
      <c r="G40" s="598"/>
      <c r="H40" s="598"/>
      <c r="I40" s="598"/>
      <c r="J40" s="599"/>
      <c r="K40" s="600">
        <v>0</v>
      </c>
      <c r="L40" s="601"/>
      <c r="M40" s="601"/>
      <c r="N40" s="601"/>
      <c r="O40" s="601"/>
      <c r="P40" s="601"/>
      <c r="Q40" s="602"/>
      <c r="R40" s="585"/>
      <c r="S40" s="586"/>
      <c r="T40" s="586"/>
      <c r="U40" s="586"/>
      <c r="V40" s="586"/>
      <c r="W40" s="586"/>
      <c r="X40" s="587"/>
    </row>
    <row r="41" spans="3:24" ht="16.5" customHeight="1">
      <c r="C41" s="5" t="s">
        <v>14</v>
      </c>
      <c r="D41" s="598" t="s">
        <v>34</v>
      </c>
      <c r="E41" s="598"/>
      <c r="F41" s="598"/>
      <c r="G41" s="598"/>
      <c r="H41" s="598"/>
      <c r="I41" s="598"/>
      <c r="J41" s="599"/>
      <c r="K41" s="600">
        <v>0</v>
      </c>
      <c r="L41" s="601"/>
      <c r="M41" s="601"/>
      <c r="N41" s="601"/>
      <c r="O41" s="601"/>
      <c r="P41" s="601"/>
      <c r="Q41" s="602"/>
      <c r="R41" s="585"/>
      <c r="S41" s="586"/>
      <c r="T41" s="586"/>
      <c r="U41" s="586"/>
      <c r="V41" s="586"/>
      <c r="W41" s="586"/>
      <c r="X41" s="587"/>
    </row>
    <row r="42" spans="3:24" s="12" customFormat="1" ht="16.5" customHeight="1">
      <c r="C42" s="10" t="s">
        <v>35</v>
      </c>
      <c r="D42" s="612" t="s">
        <v>36</v>
      </c>
      <c r="E42" s="612"/>
      <c r="F42" s="612"/>
      <c r="G42" s="612"/>
      <c r="H42" s="612"/>
      <c r="I42" s="612"/>
      <c r="J42" s="612"/>
      <c r="K42" s="612"/>
      <c r="L42" s="612"/>
      <c r="M42" s="612"/>
      <c r="N42" s="612"/>
      <c r="O42" s="612"/>
      <c r="P42" s="612"/>
      <c r="Q42" s="613"/>
      <c r="R42" s="594">
        <f>K39-K40-K41</f>
        <v>0</v>
      </c>
      <c r="S42" s="614"/>
      <c r="T42" s="614"/>
      <c r="U42" s="614"/>
      <c r="V42" s="614"/>
      <c r="W42" s="614"/>
      <c r="X42" s="615"/>
    </row>
    <row r="43" spans="3:24" s="12" customFormat="1" ht="16.5" customHeight="1">
      <c r="C43" s="10" t="s">
        <v>37</v>
      </c>
      <c r="D43" s="612" t="s">
        <v>39</v>
      </c>
      <c r="E43" s="612"/>
      <c r="F43" s="612"/>
      <c r="G43" s="612"/>
      <c r="H43" s="612"/>
      <c r="I43" s="612"/>
      <c r="J43" s="612"/>
      <c r="K43" s="612"/>
      <c r="L43" s="612"/>
      <c r="M43" s="612"/>
      <c r="N43" s="612"/>
      <c r="O43" s="612"/>
      <c r="P43" s="612"/>
      <c r="Q43" s="613"/>
      <c r="R43" s="594">
        <v>0</v>
      </c>
      <c r="S43" s="595"/>
      <c r="T43" s="595"/>
      <c r="U43" s="595"/>
      <c r="V43" s="595"/>
      <c r="W43" s="595"/>
      <c r="X43" s="596"/>
    </row>
    <row r="44" spans="3:24" s="12" customFormat="1" ht="16.5" customHeight="1">
      <c r="C44" s="10" t="s">
        <v>38</v>
      </c>
      <c r="D44" s="612" t="s">
        <v>40</v>
      </c>
      <c r="E44" s="612"/>
      <c r="F44" s="612"/>
      <c r="G44" s="612"/>
      <c r="H44" s="612"/>
      <c r="I44" s="612"/>
      <c r="J44" s="612"/>
      <c r="K44" s="612"/>
      <c r="L44" s="612"/>
      <c r="M44" s="612"/>
      <c r="N44" s="612"/>
      <c r="O44" s="612"/>
      <c r="P44" s="612"/>
      <c r="Q44" s="613"/>
      <c r="R44" s="594">
        <f>R19+R26+R31-R36-R42-R43</f>
        <v>179366841</v>
      </c>
      <c r="S44" s="595"/>
      <c r="T44" s="595"/>
      <c r="U44" s="595"/>
      <c r="V44" s="595"/>
      <c r="W44" s="595"/>
      <c r="X44" s="596"/>
    </row>
    <row r="45" spans="3:24" ht="16.5" customHeight="1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</row>
    <row r="46" spans="3:24" ht="16.5" customHeight="1">
      <c r="C46" s="1" t="s">
        <v>224</v>
      </c>
    </row>
    <row r="47" spans="3:24" ht="16.5" customHeight="1">
      <c r="C47" s="10" t="s">
        <v>16</v>
      </c>
      <c r="D47" s="598" t="s">
        <v>225</v>
      </c>
      <c r="E47" s="598"/>
      <c r="F47" s="598"/>
      <c r="G47" s="598"/>
      <c r="H47" s="598"/>
      <c r="I47" s="598"/>
      <c r="J47" s="598"/>
      <c r="K47" s="598"/>
      <c r="L47" s="598"/>
      <c r="M47" s="598"/>
      <c r="N47" s="598"/>
      <c r="O47" s="598"/>
      <c r="P47" s="598"/>
      <c r="Q47" s="599"/>
      <c r="R47" s="628">
        <v>0</v>
      </c>
      <c r="S47" s="629"/>
      <c r="T47" s="629"/>
      <c r="U47" s="629"/>
      <c r="V47" s="629"/>
      <c r="W47" s="629"/>
      <c r="X47" s="630"/>
    </row>
    <row r="48" spans="3:24" ht="16.5" customHeight="1">
      <c r="C48" s="10" t="s">
        <v>18</v>
      </c>
      <c r="D48" s="598" t="s">
        <v>226</v>
      </c>
      <c r="E48" s="598"/>
      <c r="F48" s="598"/>
      <c r="G48" s="598"/>
      <c r="H48" s="598"/>
      <c r="I48" s="598"/>
      <c r="J48" s="598"/>
      <c r="K48" s="598"/>
      <c r="L48" s="598"/>
      <c r="M48" s="598"/>
      <c r="N48" s="598"/>
      <c r="O48" s="598"/>
      <c r="P48" s="598"/>
      <c r="Q48" s="599"/>
      <c r="R48" s="628">
        <v>0</v>
      </c>
      <c r="S48" s="629"/>
      <c r="T48" s="629"/>
      <c r="U48" s="629"/>
      <c r="V48" s="629"/>
      <c r="W48" s="629"/>
      <c r="X48" s="630"/>
    </row>
    <row r="49" spans="2:24" ht="16.5" customHeight="1">
      <c r="C49" s="10" t="s">
        <v>24</v>
      </c>
      <c r="D49" s="598" t="s">
        <v>227</v>
      </c>
      <c r="E49" s="598"/>
      <c r="F49" s="598"/>
      <c r="G49" s="598"/>
      <c r="H49" s="598"/>
      <c r="I49" s="598"/>
      <c r="J49" s="598"/>
      <c r="K49" s="598"/>
      <c r="L49" s="598"/>
      <c r="M49" s="598"/>
      <c r="N49" s="598"/>
      <c r="O49" s="598"/>
      <c r="P49" s="598"/>
      <c r="Q49" s="599"/>
      <c r="R49" s="628">
        <v>0</v>
      </c>
      <c r="S49" s="629"/>
      <c r="T49" s="629"/>
      <c r="U49" s="629"/>
      <c r="V49" s="629"/>
      <c r="W49" s="629"/>
      <c r="X49" s="630"/>
    </row>
    <row r="50" spans="2:24" ht="16.5" customHeight="1">
      <c r="C50" s="637" t="s">
        <v>228</v>
      </c>
      <c r="D50" s="612"/>
      <c r="E50" s="612"/>
      <c r="F50" s="612"/>
      <c r="G50" s="612"/>
      <c r="H50" s="612"/>
      <c r="I50" s="612"/>
      <c r="J50" s="612"/>
      <c r="K50" s="612"/>
      <c r="L50" s="612"/>
      <c r="M50" s="612"/>
      <c r="N50" s="612"/>
      <c r="O50" s="612"/>
      <c r="P50" s="612"/>
      <c r="Q50" s="613"/>
      <c r="R50" s="631">
        <f>SUM(R47:X49)</f>
        <v>0</v>
      </c>
      <c r="S50" s="632"/>
      <c r="T50" s="632"/>
      <c r="U50" s="632"/>
      <c r="V50" s="632"/>
      <c r="W50" s="632"/>
      <c r="X50" s="633"/>
    </row>
    <row r="51" spans="2:24" ht="16.5" customHeight="1"/>
    <row r="52" spans="2:24" ht="16.5" customHeight="1">
      <c r="C52" s="1" t="s">
        <v>492</v>
      </c>
    </row>
    <row r="53" spans="2:24" ht="16.5" customHeight="1">
      <c r="C53" s="32" t="s">
        <v>53</v>
      </c>
      <c r="D53" s="1" t="s">
        <v>493</v>
      </c>
    </row>
    <row r="54" spans="2:24" ht="16.5" customHeight="1">
      <c r="C54" s="32" t="s">
        <v>53</v>
      </c>
      <c r="D54" s="1" t="s">
        <v>494</v>
      </c>
    </row>
    <row r="55" spans="2:24" ht="16.5" customHeight="1"/>
    <row r="56" spans="2:24" s="4" customFormat="1" ht="16.5" customHeight="1">
      <c r="B56" s="4" t="s">
        <v>13</v>
      </c>
      <c r="C56" s="4" t="s">
        <v>58</v>
      </c>
    </row>
    <row r="57" spans="2:24" s="4" customFormat="1" ht="16.5" customHeight="1">
      <c r="C57" s="4" t="s">
        <v>41</v>
      </c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2:24" ht="16.5" customHeight="1">
      <c r="C58" s="585" t="s">
        <v>42</v>
      </c>
      <c r="D58" s="586"/>
      <c r="E58" s="586"/>
      <c r="F58" s="586"/>
      <c r="G58" s="586"/>
      <c r="H58" s="586"/>
      <c r="I58" s="587"/>
      <c r="J58" s="585" t="s">
        <v>43</v>
      </c>
      <c r="K58" s="586"/>
      <c r="L58" s="586"/>
      <c r="M58" s="586"/>
      <c r="N58" s="587"/>
      <c r="O58" s="585" t="s">
        <v>44</v>
      </c>
      <c r="P58" s="586"/>
      <c r="Q58" s="586"/>
      <c r="R58" s="586"/>
      <c r="S58" s="587"/>
      <c r="T58" s="585" t="s">
        <v>45</v>
      </c>
      <c r="U58" s="586"/>
      <c r="V58" s="586"/>
      <c r="W58" s="586"/>
      <c r="X58" s="587"/>
    </row>
    <row r="59" spans="2:24" s="4" customFormat="1" ht="16.5" customHeight="1">
      <c r="C59" s="588" t="s">
        <v>46</v>
      </c>
      <c r="D59" s="589"/>
      <c r="E59" s="589"/>
      <c r="F59" s="589"/>
      <c r="G59" s="589"/>
      <c r="H59" s="589"/>
      <c r="I59" s="590"/>
      <c r="J59" s="634">
        <v>25142000</v>
      </c>
      <c r="K59" s="635"/>
      <c r="L59" s="635"/>
      <c r="M59" s="635"/>
      <c r="N59" s="636"/>
      <c r="O59" s="634">
        <v>22642000</v>
      </c>
      <c r="P59" s="635"/>
      <c r="Q59" s="635"/>
      <c r="R59" s="635"/>
      <c r="S59" s="636"/>
      <c r="T59" s="634">
        <f>J59-O59</f>
        <v>2500000</v>
      </c>
      <c r="U59" s="635"/>
      <c r="V59" s="635"/>
      <c r="W59" s="635"/>
      <c r="X59" s="636"/>
    </row>
    <row r="60" spans="2:24" s="4" customFormat="1" ht="16.5" customHeight="1">
      <c r="C60" s="588" t="s">
        <v>47</v>
      </c>
      <c r="D60" s="589"/>
      <c r="E60" s="589"/>
      <c r="F60" s="589"/>
      <c r="G60" s="589"/>
      <c r="H60" s="589"/>
      <c r="I60" s="590"/>
      <c r="J60" s="634">
        <v>39900000</v>
      </c>
      <c r="K60" s="635"/>
      <c r="L60" s="635"/>
      <c r="M60" s="635"/>
      <c r="N60" s="636"/>
      <c r="O60" s="634">
        <v>23264000</v>
      </c>
      <c r="P60" s="635"/>
      <c r="Q60" s="635"/>
      <c r="R60" s="635"/>
      <c r="S60" s="636"/>
      <c r="T60" s="634">
        <f t="shared" ref="T60:T63" si="0">J60-O60</f>
        <v>16636000</v>
      </c>
      <c r="U60" s="635"/>
      <c r="V60" s="635"/>
      <c r="W60" s="635"/>
      <c r="X60" s="636"/>
    </row>
    <row r="61" spans="2:24" s="4" customFormat="1" ht="32.25" customHeight="1">
      <c r="C61" s="606" t="s">
        <v>48</v>
      </c>
      <c r="D61" s="607"/>
      <c r="E61" s="607"/>
      <c r="F61" s="607"/>
      <c r="G61" s="607"/>
      <c r="H61" s="607"/>
      <c r="I61" s="608"/>
      <c r="J61" s="634">
        <v>0</v>
      </c>
      <c r="K61" s="635"/>
      <c r="L61" s="635"/>
      <c r="M61" s="635"/>
      <c r="N61" s="636"/>
      <c r="O61" s="634">
        <v>0</v>
      </c>
      <c r="P61" s="635"/>
      <c r="Q61" s="635"/>
      <c r="R61" s="635"/>
      <c r="S61" s="636"/>
      <c r="T61" s="634">
        <f t="shared" si="0"/>
        <v>0</v>
      </c>
      <c r="U61" s="635"/>
      <c r="V61" s="635"/>
      <c r="W61" s="635"/>
      <c r="X61" s="636"/>
    </row>
    <row r="62" spans="2:24" s="4" customFormat="1" ht="16.5" customHeight="1">
      <c r="C62" s="588" t="s">
        <v>49</v>
      </c>
      <c r="D62" s="589"/>
      <c r="E62" s="589"/>
      <c r="F62" s="589"/>
      <c r="G62" s="589"/>
      <c r="H62" s="589"/>
      <c r="I62" s="590"/>
      <c r="J62" s="634">
        <v>7500000</v>
      </c>
      <c r="K62" s="635"/>
      <c r="L62" s="635"/>
      <c r="M62" s="635"/>
      <c r="N62" s="636"/>
      <c r="O62" s="634">
        <v>28710000</v>
      </c>
      <c r="P62" s="635"/>
      <c r="Q62" s="635"/>
      <c r="R62" s="635"/>
      <c r="S62" s="636"/>
      <c r="T62" s="634">
        <f t="shared" si="0"/>
        <v>-21210000</v>
      </c>
      <c r="U62" s="635"/>
      <c r="V62" s="635"/>
      <c r="W62" s="635"/>
      <c r="X62" s="636"/>
    </row>
    <row r="63" spans="2:24" ht="16.5" customHeight="1">
      <c r="C63" s="616" t="s">
        <v>50</v>
      </c>
      <c r="D63" s="617"/>
      <c r="E63" s="617"/>
      <c r="F63" s="617"/>
      <c r="G63" s="617"/>
      <c r="H63" s="617"/>
      <c r="I63" s="618"/>
      <c r="J63" s="638">
        <f>SUM(J59:N62)</f>
        <v>72542000</v>
      </c>
      <c r="K63" s="639"/>
      <c r="L63" s="639"/>
      <c r="M63" s="639"/>
      <c r="N63" s="640"/>
      <c r="O63" s="638">
        <f>SUM(O59:S62)</f>
        <v>74616000</v>
      </c>
      <c r="P63" s="639"/>
      <c r="Q63" s="639"/>
      <c r="R63" s="639"/>
      <c r="S63" s="640"/>
      <c r="T63" s="634">
        <f t="shared" si="0"/>
        <v>-2074000</v>
      </c>
      <c r="U63" s="635"/>
      <c r="V63" s="635"/>
      <c r="W63" s="635"/>
      <c r="X63" s="636"/>
    </row>
    <row r="64" spans="2:24" ht="16.5" customHeight="1">
      <c r="C64" s="1" t="s">
        <v>230</v>
      </c>
    </row>
    <row r="65" spans="3:24" ht="16.5" customHeight="1">
      <c r="C65" s="2" t="s">
        <v>51</v>
      </c>
      <c r="D65" s="1" t="s">
        <v>229</v>
      </c>
    </row>
    <row r="66" spans="3:24" ht="16.5" customHeight="1">
      <c r="C66" s="2"/>
      <c r="D66" s="15" t="s">
        <v>53</v>
      </c>
      <c r="E66" s="1" t="s">
        <v>478</v>
      </c>
      <c r="S66" s="2" t="s">
        <v>6</v>
      </c>
      <c r="T66" s="565">
        <v>22642000</v>
      </c>
      <c r="U66" s="565"/>
      <c r="V66" s="565"/>
      <c r="W66" s="565"/>
      <c r="X66" s="565"/>
    </row>
    <row r="67" spans="3:24" ht="16.5" customHeight="1">
      <c r="C67" s="2"/>
      <c r="D67" s="15"/>
      <c r="S67" s="2"/>
      <c r="T67" s="28"/>
      <c r="U67" s="28"/>
      <c r="V67" s="28"/>
      <c r="W67" s="28"/>
      <c r="X67" s="28"/>
    </row>
    <row r="68" spans="3:24" ht="10.5" customHeight="1">
      <c r="C68" s="2" t="s">
        <v>52</v>
      </c>
      <c r="D68" s="1" t="s">
        <v>482</v>
      </c>
      <c r="T68" s="565"/>
      <c r="U68" s="565"/>
      <c r="V68" s="565"/>
      <c r="W68" s="565"/>
      <c r="X68" s="565"/>
    </row>
    <row r="69" spans="3:24" ht="15.75" customHeight="1">
      <c r="C69" s="2"/>
      <c r="D69" s="15" t="s">
        <v>53</v>
      </c>
      <c r="E69" s="1" t="s">
        <v>483</v>
      </c>
      <c r="S69" s="2" t="s">
        <v>6</v>
      </c>
      <c r="T69" s="565">
        <v>21700000</v>
      </c>
      <c r="U69" s="565"/>
      <c r="V69" s="565"/>
      <c r="W69" s="565"/>
      <c r="X69" s="565"/>
    </row>
    <row r="70" spans="3:24" ht="14.25" customHeight="1">
      <c r="C70" s="2"/>
      <c r="D70" s="15" t="s">
        <v>53</v>
      </c>
      <c r="E70" s="1" t="s">
        <v>484</v>
      </c>
      <c r="S70" s="2" t="s">
        <v>6</v>
      </c>
      <c r="T70" s="565">
        <v>764000</v>
      </c>
      <c r="U70" s="565"/>
      <c r="V70" s="565"/>
      <c r="W70" s="565"/>
      <c r="X70" s="565"/>
    </row>
    <row r="71" spans="3:24" ht="16.5" customHeight="1">
      <c r="C71" s="1" t="s">
        <v>74</v>
      </c>
      <c r="D71" s="1" t="s">
        <v>49</v>
      </c>
      <c r="S71" s="2"/>
    </row>
    <row r="72" spans="3:24" ht="16.5" customHeight="1">
      <c r="D72" s="15" t="s">
        <v>53</v>
      </c>
      <c r="E72" s="1" t="s">
        <v>231</v>
      </c>
      <c r="S72" s="2" t="s">
        <v>6</v>
      </c>
      <c r="T72" s="565">
        <v>250000</v>
      </c>
      <c r="U72" s="565"/>
      <c r="V72" s="565"/>
      <c r="W72" s="565"/>
      <c r="X72" s="565"/>
    </row>
    <row r="73" spans="3:24" ht="16.5" customHeight="1">
      <c r="D73" s="15" t="s">
        <v>479</v>
      </c>
      <c r="E73" s="1" t="s">
        <v>480</v>
      </c>
      <c r="S73" s="2" t="s">
        <v>6</v>
      </c>
      <c r="T73" s="565">
        <v>1500000</v>
      </c>
      <c r="U73" s="565"/>
      <c r="V73" s="565"/>
      <c r="W73" s="565"/>
      <c r="X73" s="565"/>
    </row>
    <row r="74" spans="3:24" ht="16.5" customHeight="1">
      <c r="D74" s="15" t="s">
        <v>53</v>
      </c>
      <c r="E74" s="1" t="s">
        <v>481</v>
      </c>
      <c r="S74" s="2" t="s">
        <v>6</v>
      </c>
      <c r="T74" s="565">
        <v>4500000</v>
      </c>
      <c r="U74" s="565"/>
      <c r="V74" s="565"/>
      <c r="W74" s="565"/>
      <c r="X74" s="565"/>
    </row>
    <row r="75" spans="3:24" ht="16.5" customHeight="1">
      <c r="D75" s="15" t="s">
        <v>53</v>
      </c>
      <c r="E75" s="1" t="s">
        <v>485</v>
      </c>
      <c r="S75" s="2" t="s">
        <v>6</v>
      </c>
      <c r="T75" s="664">
        <v>23260000</v>
      </c>
      <c r="U75" s="664"/>
      <c r="V75" s="664"/>
      <c r="W75" s="664"/>
      <c r="X75" s="664"/>
    </row>
    <row r="76" spans="3:24" ht="17.25" customHeight="1">
      <c r="D76" s="15"/>
      <c r="E76" s="12" t="s">
        <v>50</v>
      </c>
      <c r="S76" s="2" t="s">
        <v>6</v>
      </c>
      <c r="T76" s="665">
        <f>SUM(T66:X75)</f>
        <v>74616000</v>
      </c>
      <c r="U76" s="665"/>
      <c r="V76" s="665"/>
      <c r="W76" s="665"/>
      <c r="X76" s="665"/>
    </row>
    <row r="77" spans="3:24" ht="9.75" customHeight="1">
      <c r="D77" s="15"/>
    </row>
    <row r="78" spans="3:24" ht="13.5" customHeight="1">
      <c r="C78" s="1" t="s">
        <v>75</v>
      </c>
      <c r="D78" s="1" t="s">
        <v>1612</v>
      </c>
      <c r="S78" s="2"/>
    </row>
    <row r="79" spans="3:24" ht="16.5" customHeight="1">
      <c r="D79" s="15" t="s">
        <v>479</v>
      </c>
      <c r="E79" s="1" t="s">
        <v>1613</v>
      </c>
    </row>
    <row r="80" spans="3:24" ht="16.5" customHeight="1">
      <c r="D80" s="15" t="s">
        <v>53</v>
      </c>
      <c r="E80" s="1" t="s">
        <v>1615</v>
      </c>
    </row>
    <row r="81" spans="2:26" ht="16.5" customHeight="1">
      <c r="D81" s="15"/>
      <c r="E81" s="1" t="s">
        <v>1614</v>
      </c>
    </row>
    <row r="82" spans="2:26" ht="16.5" customHeight="1">
      <c r="D82" s="15" t="s">
        <v>53</v>
      </c>
      <c r="E82" s="1" t="s">
        <v>1616</v>
      </c>
    </row>
    <row r="83" spans="2:26" ht="16.5" customHeight="1">
      <c r="D83" s="15"/>
      <c r="E83" s="1" t="s">
        <v>1617</v>
      </c>
    </row>
    <row r="84" spans="2:26" ht="16.5" customHeight="1">
      <c r="D84" s="15"/>
    </row>
    <row r="85" spans="2:26" ht="16.5" customHeight="1">
      <c r="B85" s="1" t="s">
        <v>14</v>
      </c>
      <c r="C85" s="1" t="s">
        <v>59</v>
      </c>
    </row>
    <row r="86" spans="2:26" ht="16.5" customHeight="1">
      <c r="C86" s="1" t="s">
        <v>54</v>
      </c>
    </row>
    <row r="87" spans="2:26" ht="16.5" customHeight="1">
      <c r="C87" s="1" t="s">
        <v>232</v>
      </c>
    </row>
    <row r="88" spans="2:26" ht="6" customHeight="1"/>
    <row r="89" spans="2:26" s="16" customFormat="1" ht="20.25" customHeight="1">
      <c r="C89" s="568" t="s">
        <v>42</v>
      </c>
      <c r="D89" s="568"/>
      <c r="E89" s="568"/>
      <c r="F89" s="568"/>
      <c r="G89" s="568"/>
      <c r="H89" s="568" t="s">
        <v>43</v>
      </c>
      <c r="I89" s="568"/>
      <c r="J89" s="568"/>
      <c r="K89" s="568"/>
      <c r="L89" s="568"/>
      <c r="M89" s="568" t="s">
        <v>44</v>
      </c>
      <c r="N89" s="568"/>
      <c r="O89" s="568"/>
      <c r="P89" s="568"/>
      <c r="Q89" s="568"/>
      <c r="R89" s="568" t="s">
        <v>55</v>
      </c>
      <c r="S89" s="568"/>
      <c r="T89" s="568"/>
      <c r="U89" s="568"/>
      <c r="V89" s="568"/>
      <c r="W89" s="568"/>
      <c r="X89" s="568"/>
    </row>
    <row r="90" spans="2:26" s="16" customFormat="1" ht="16.5" customHeight="1">
      <c r="C90" s="566" t="s">
        <v>56</v>
      </c>
      <c r="D90" s="566"/>
      <c r="E90" s="566"/>
      <c r="F90" s="566"/>
      <c r="G90" s="566"/>
      <c r="H90" s="567">
        <v>1316134000</v>
      </c>
      <c r="I90" s="567">
        <v>1653204000</v>
      </c>
      <c r="J90" s="567">
        <v>1653204000</v>
      </c>
      <c r="K90" s="567">
        <v>1653204000</v>
      </c>
      <c r="L90" s="567">
        <v>1653204000</v>
      </c>
      <c r="M90" s="567">
        <v>1316134000</v>
      </c>
      <c r="N90" s="567">
        <v>1653204000</v>
      </c>
      <c r="O90" s="567">
        <v>1653204000</v>
      </c>
      <c r="P90" s="567">
        <v>1653204000</v>
      </c>
      <c r="Q90" s="567">
        <v>1653204000</v>
      </c>
      <c r="R90" s="567">
        <f>H90-M90</f>
        <v>0</v>
      </c>
      <c r="S90" s="566"/>
      <c r="T90" s="566"/>
      <c r="U90" s="566"/>
      <c r="V90" s="566"/>
      <c r="W90" s="566"/>
      <c r="X90" s="566"/>
    </row>
    <row r="91" spans="2:26" s="16" customFormat="1" ht="16.5" customHeight="1">
      <c r="C91" s="16" t="s">
        <v>233</v>
      </c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</row>
    <row r="92" spans="2:26" s="16" customFormat="1" ht="16.5" customHeight="1">
      <c r="C92" s="30" t="s">
        <v>51</v>
      </c>
      <c r="D92" s="16" t="s">
        <v>235</v>
      </c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30" t="s">
        <v>6</v>
      </c>
      <c r="T92" s="667">
        <v>1316134000</v>
      </c>
      <c r="U92" s="667"/>
      <c r="V92" s="667"/>
      <c r="W92" s="667"/>
      <c r="X92" s="667"/>
      <c r="Z92" s="31"/>
    </row>
    <row r="93" spans="2:26" s="16" customFormat="1" ht="16.5" customHeight="1">
      <c r="C93" s="30" t="s">
        <v>52</v>
      </c>
      <c r="D93" s="16" t="s">
        <v>236</v>
      </c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30" t="s">
        <v>6</v>
      </c>
      <c r="T93" s="668">
        <v>0</v>
      </c>
      <c r="U93" s="668"/>
      <c r="V93" s="668"/>
      <c r="W93" s="668"/>
      <c r="X93" s="668"/>
    </row>
    <row r="94" spans="2:26" s="16" customFormat="1" ht="16.5" customHeight="1">
      <c r="C94" s="30" t="s">
        <v>74</v>
      </c>
      <c r="D94" s="16" t="s">
        <v>234</v>
      </c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30" t="s">
        <v>6</v>
      </c>
      <c r="T94" s="667">
        <f>SUM(T92:X93)</f>
        <v>1316134000</v>
      </c>
      <c r="U94" s="667"/>
      <c r="V94" s="667"/>
      <c r="W94" s="667"/>
      <c r="X94" s="667"/>
    </row>
    <row r="95" spans="2:26" ht="16.5" customHeight="1"/>
    <row r="96" spans="2:26" ht="16.5" customHeight="1">
      <c r="B96" s="1" t="s">
        <v>57</v>
      </c>
      <c r="C96" s="1" t="s">
        <v>60</v>
      </c>
    </row>
    <row r="97" spans="2:24" ht="16.5" customHeight="1">
      <c r="C97" s="1" t="s">
        <v>486</v>
      </c>
    </row>
    <row r="98" spans="2:24" ht="16.5" customHeight="1">
      <c r="C98" s="1" t="s">
        <v>61</v>
      </c>
    </row>
    <row r="99" spans="2:24" ht="6.75" customHeight="1"/>
    <row r="100" spans="2:24" s="16" customFormat="1" ht="20.25" customHeight="1">
      <c r="C100" s="568" t="s">
        <v>42</v>
      </c>
      <c r="D100" s="568"/>
      <c r="E100" s="568"/>
      <c r="F100" s="568"/>
      <c r="G100" s="568"/>
      <c r="H100" s="568" t="s">
        <v>43</v>
      </c>
      <c r="I100" s="568"/>
      <c r="J100" s="568"/>
      <c r="K100" s="568"/>
      <c r="L100" s="568"/>
      <c r="M100" s="568" t="s">
        <v>44</v>
      </c>
      <c r="N100" s="568"/>
      <c r="O100" s="568"/>
      <c r="P100" s="568"/>
      <c r="Q100" s="568"/>
      <c r="R100" s="568" t="s">
        <v>55</v>
      </c>
      <c r="S100" s="568"/>
      <c r="T100" s="568"/>
      <c r="U100" s="568"/>
      <c r="V100" s="568"/>
      <c r="W100" s="568"/>
      <c r="X100" s="568"/>
    </row>
    <row r="101" spans="2:24" s="16" customFormat="1" ht="32.25" customHeight="1">
      <c r="C101" s="619" t="s">
        <v>63</v>
      </c>
      <c r="D101" s="619"/>
      <c r="E101" s="619"/>
      <c r="F101" s="619"/>
      <c r="G101" s="619"/>
      <c r="H101" s="620">
        <v>135940700</v>
      </c>
      <c r="I101" s="620">
        <v>554873000</v>
      </c>
      <c r="J101" s="620">
        <v>554873000</v>
      </c>
      <c r="K101" s="620">
        <v>554873000</v>
      </c>
      <c r="L101" s="620">
        <v>554873000</v>
      </c>
      <c r="M101" s="620">
        <v>135940700</v>
      </c>
      <c r="N101" s="620">
        <v>554873000</v>
      </c>
      <c r="O101" s="620">
        <v>554873000</v>
      </c>
      <c r="P101" s="620">
        <v>554873000</v>
      </c>
      <c r="Q101" s="620">
        <v>554873000</v>
      </c>
      <c r="R101" s="567">
        <f>H101-M101</f>
        <v>0</v>
      </c>
      <c r="S101" s="566"/>
      <c r="T101" s="566"/>
      <c r="U101" s="566"/>
      <c r="V101" s="566"/>
      <c r="W101" s="566"/>
      <c r="X101" s="566"/>
    </row>
    <row r="102" spans="2:24" ht="7.5" customHeight="1"/>
    <row r="103" spans="2:24" ht="16.5" customHeight="1">
      <c r="C103" s="1" t="s">
        <v>237</v>
      </c>
    </row>
    <row r="104" spans="2:24" ht="16.5" customHeight="1">
      <c r="C104" s="1" t="s">
        <v>61</v>
      </c>
    </row>
    <row r="105" spans="2:24" ht="16.5" customHeight="1">
      <c r="C105" s="2" t="s">
        <v>51</v>
      </c>
      <c r="D105" s="1" t="s">
        <v>274</v>
      </c>
      <c r="S105" s="2" t="s">
        <v>6</v>
      </c>
      <c r="T105" s="648">
        <v>88301200</v>
      </c>
      <c r="U105" s="648">
        <v>126675500</v>
      </c>
      <c r="V105" s="648">
        <v>126675500</v>
      </c>
      <c r="W105" s="648">
        <v>126675500</v>
      </c>
      <c r="X105" s="648">
        <v>126675500</v>
      </c>
    </row>
    <row r="106" spans="2:24" ht="16.5" customHeight="1">
      <c r="C106" s="2" t="s">
        <v>52</v>
      </c>
      <c r="D106" s="1" t="s">
        <v>275</v>
      </c>
      <c r="S106" s="2" t="s">
        <v>6</v>
      </c>
      <c r="T106" s="648">
        <v>33434800</v>
      </c>
      <c r="U106" s="648">
        <v>52499800</v>
      </c>
      <c r="V106" s="648">
        <v>52499800</v>
      </c>
      <c r="W106" s="648">
        <v>52499800</v>
      </c>
      <c r="X106" s="648">
        <v>52499800</v>
      </c>
    </row>
    <row r="107" spans="2:24" ht="16.5" customHeight="1">
      <c r="C107" s="2" t="s">
        <v>74</v>
      </c>
      <c r="D107" s="1" t="s">
        <v>273</v>
      </c>
      <c r="S107" s="2" t="s">
        <v>6</v>
      </c>
      <c r="T107" s="565">
        <v>14204700</v>
      </c>
      <c r="U107" s="565">
        <v>283925100</v>
      </c>
      <c r="V107" s="565">
        <v>283925100</v>
      </c>
      <c r="W107" s="565">
        <v>283925100</v>
      </c>
      <c r="X107" s="565">
        <v>283925100</v>
      </c>
    </row>
    <row r="108" spans="2:24" ht="16.5" customHeight="1">
      <c r="C108" s="2"/>
      <c r="S108" s="2"/>
      <c r="T108" s="664"/>
      <c r="U108" s="664"/>
      <c r="V108" s="664"/>
      <c r="W108" s="664"/>
      <c r="X108" s="664"/>
    </row>
    <row r="109" spans="2:24" ht="16.5" customHeight="1">
      <c r="D109" s="1" t="s">
        <v>64</v>
      </c>
      <c r="S109" s="2" t="s">
        <v>6</v>
      </c>
      <c r="T109" s="565">
        <f>T105+T106+T107+T108</f>
        <v>135940700</v>
      </c>
      <c r="U109" s="666"/>
      <c r="V109" s="666"/>
      <c r="W109" s="666"/>
      <c r="X109" s="666"/>
    </row>
    <row r="110" spans="2:24" ht="16.5" customHeight="1"/>
    <row r="111" spans="2:24" ht="16.5" customHeight="1">
      <c r="B111" s="1" t="s">
        <v>65</v>
      </c>
      <c r="C111" s="1" t="s">
        <v>66</v>
      </c>
    </row>
    <row r="112" spans="2:24" ht="16.5" customHeight="1">
      <c r="C112" s="1" t="s">
        <v>67</v>
      </c>
    </row>
    <row r="113" spans="2:24" ht="6" customHeight="1"/>
    <row r="114" spans="2:24" s="16" customFormat="1" ht="20.25" customHeight="1">
      <c r="C114" s="568" t="s">
        <v>42</v>
      </c>
      <c r="D114" s="568"/>
      <c r="E114" s="568"/>
      <c r="F114" s="568"/>
      <c r="G114" s="568"/>
      <c r="H114" s="568" t="s">
        <v>43</v>
      </c>
      <c r="I114" s="568"/>
      <c r="J114" s="568"/>
      <c r="K114" s="568"/>
      <c r="L114" s="568"/>
      <c r="M114" s="568" t="s">
        <v>44</v>
      </c>
      <c r="N114" s="568"/>
      <c r="O114" s="568"/>
      <c r="P114" s="568"/>
      <c r="Q114" s="568"/>
      <c r="R114" s="568" t="s">
        <v>55</v>
      </c>
      <c r="S114" s="568"/>
      <c r="T114" s="568"/>
      <c r="U114" s="568"/>
      <c r="V114" s="568"/>
      <c r="W114" s="568"/>
      <c r="X114" s="568"/>
    </row>
    <row r="115" spans="2:24" s="16" customFormat="1" ht="16.5" customHeight="1">
      <c r="C115" s="566" t="s">
        <v>68</v>
      </c>
      <c r="D115" s="566"/>
      <c r="E115" s="566"/>
      <c r="F115" s="566"/>
      <c r="G115" s="566"/>
      <c r="H115" s="567">
        <v>738763400</v>
      </c>
      <c r="I115" s="567">
        <v>1167068900</v>
      </c>
      <c r="J115" s="567">
        <v>1167068900</v>
      </c>
      <c r="K115" s="567">
        <v>1167068900</v>
      </c>
      <c r="L115" s="567">
        <v>1167068900</v>
      </c>
      <c r="M115" s="567">
        <v>734810200</v>
      </c>
      <c r="N115" s="567">
        <v>1159210850</v>
      </c>
      <c r="O115" s="567">
        <v>1159210850</v>
      </c>
      <c r="P115" s="567">
        <v>1159210850</v>
      </c>
      <c r="Q115" s="567">
        <v>1159210850</v>
      </c>
      <c r="R115" s="567">
        <f>H115-M115</f>
        <v>3953200</v>
      </c>
      <c r="S115" s="566"/>
      <c r="T115" s="566"/>
      <c r="U115" s="566"/>
      <c r="V115" s="566"/>
      <c r="W115" s="566"/>
      <c r="X115" s="566"/>
    </row>
    <row r="116" spans="2:24" ht="16.5" customHeight="1"/>
    <row r="117" spans="2:24" ht="16.5" customHeight="1">
      <c r="C117" s="1" t="s">
        <v>495</v>
      </c>
    </row>
    <row r="118" spans="2:24" ht="16.5" customHeight="1">
      <c r="C118" s="1" t="s">
        <v>238</v>
      </c>
    </row>
    <row r="119" spans="2:24" ht="16.5" customHeight="1"/>
    <row r="120" spans="2:24" ht="16.5" customHeight="1">
      <c r="B120" s="1" t="s">
        <v>69</v>
      </c>
      <c r="C120" s="1" t="s">
        <v>70</v>
      </c>
    </row>
    <row r="121" spans="2:24" ht="16.5" customHeight="1">
      <c r="C121" s="1" t="s">
        <v>239</v>
      </c>
    </row>
    <row r="122" spans="2:24" ht="6" customHeight="1"/>
    <row r="123" spans="2:24" s="16" customFormat="1" ht="20.25" customHeight="1">
      <c r="C123" s="568" t="s">
        <v>42</v>
      </c>
      <c r="D123" s="568"/>
      <c r="E123" s="568"/>
      <c r="F123" s="568"/>
      <c r="G123" s="568"/>
      <c r="H123" s="568" t="s">
        <v>43</v>
      </c>
      <c r="I123" s="568"/>
      <c r="J123" s="568"/>
      <c r="K123" s="568"/>
      <c r="L123" s="568"/>
      <c r="M123" s="568" t="s">
        <v>44</v>
      </c>
      <c r="N123" s="568"/>
      <c r="O123" s="568"/>
      <c r="P123" s="568"/>
      <c r="Q123" s="568"/>
      <c r="R123" s="568" t="s">
        <v>55</v>
      </c>
      <c r="S123" s="568"/>
      <c r="T123" s="568"/>
      <c r="U123" s="568"/>
      <c r="V123" s="568"/>
      <c r="W123" s="568"/>
      <c r="X123" s="568"/>
    </row>
    <row r="124" spans="2:24" s="16" customFormat="1" ht="16.5" customHeight="1">
      <c r="C124" s="566" t="s">
        <v>71</v>
      </c>
      <c r="D124" s="566"/>
      <c r="E124" s="566"/>
      <c r="F124" s="566"/>
      <c r="G124" s="566"/>
      <c r="H124" s="567">
        <v>220000000</v>
      </c>
      <c r="I124" s="567">
        <v>1167068900</v>
      </c>
      <c r="J124" s="567">
        <v>1167068900</v>
      </c>
      <c r="K124" s="567">
        <v>1167068900</v>
      </c>
      <c r="L124" s="567">
        <v>1167068900</v>
      </c>
      <c r="M124" s="567">
        <v>220000000</v>
      </c>
      <c r="N124" s="567">
        <v>1159210850</v>
      </c>
      <c r="O124" s="567">
        <v>1159210850</v>
      </c>
      <c r="P124" s="567">
        <v>1159210850</v>
      </c>
      <c r="Q124" s="567">
        <v>1159210850</v>
      </c>
      <c r="R124" s="567">
        <f>H124-M124</f>
        <v>0</v>
      </c>
      <c r="S124" s="566"/>
      <c r="T124" s="566"/>
      <c r="U124" s="566"/>
      <c r="V124" s="566"/>
      <c r="W124" s="566"/>
      <c r="X124" s="566"/>
    </row>
    <row r="125" spans="2:24" ht="5.25" customHeight="1"/>
    <row r="126" spans="2:24" ht="16.5" customHeight="1">
      <c r="C126" s="1" t="s">
        <v>496</v>
      </c>
    </row>
    <row r="127" spans="2:24" ht="16.5" customHeight="1">
      <c r="C127" s="32" t="s">
        <v>53</v>
      </c>
      <c r="D127" s="1" t="s">
        <v>488</v>
      </c>
    </row>
    <row r="128" spans="2:24" ht="16.5" customHeight="1">
      <c r="C128" s="32" t="s">
        <v>53</v>
      </c>
      <c r="D128" s="1" t="s">
        <v>497</v>
      </c>
    </row>
    <row r="129" spans="2:24" ht="16.5" customHeight="1">
      <c r="C129" s="32"/>
    </row>
    <row r="130" spans="2:24" ht="16.5" customHeight="1">
      <c r="B130" s="1" t="s">
        <v>72</v>
      </c>
      <c r="C130" s="1" t="s">
        <v>79</v>
      </c>
    </row>
    <row r="131" spans="2:24" ht="16.5" customHeight="1">
      <c r="C131" s="1" t="s">
        <v>240</v>
      </c>
    </row>
    <row r="132" spans="2:24" ht="6" customHeight="1"/>
    <row r="133" spans="2:24" s="16" customFormat="1" ht="20.25" customHeight="1">
      <c r="C133" s="568" t="s">
        <v>42</v>
      </c>
      <c r="D133" s="568"/>
      <c r="E133" s="568"/>
      <c r="F133" s="568"/>
      <c r="G133" s="568"/>
      <c r="H133" s="568" t="s">
        <v>43</v>
      </c>
      <c r="I133" s="568"/>
      <c r="J133" s="568"/>
      <c r="K133" s="568"/>
      <c r="L133" s="568"/>
      <c r="M133" s="568" t="s">
        <v>44</v>
      </c>
      <c r="N133" s="568"/>
      <c r="O133" s="568"/>
      <c r="P133" s="568"/>
      <c r="Q133" s="568"/>
      <c r="R133" s="568" t="s">
        <v>55</v>
      </c>
      <c r="S133" s="568"/>
      <c r="T133" s="568"/>
      <c r="U133" s="568"/>
      <c r="V133" s="568"/>
      <c r="W133" s="568"/>
      <c r="X133" s="568"/>
    </row>
    <row r="134" spans="2:24" s="16" customFormat="1" ht="16.5" customHeight="1">
      <c r="C134" s="566" t="s">
        <v>73</v>
      </c>
      <c r="D134" s="566"/>
      <c r="E134" s="566"/>
      <c r="F134" s="566"/>
      <c r="G134" s="566"/>
      <c r="H134" s="567">
        <v>0</v>
      </c>
      <c r="I134" s="567">
        <v>138999500</v>
      </c>
      <c r="J134" s="567">
        <v>138999500</v>
      </c>
      <c r="K134" s="567">
        <v>138999500</v>
      </c>
      <c r="L134" s="567">
        <v>138999500</v>
      </c>
      <c r="M134" s="567">
        <v>0</v>
      </c>
      <c r="N134" s="567">
        <v>138999500</v>
      </c>
      <c r="O134" s="567">
        <v>138999500</v>
      </c>
      <c r="P134" s="567">
        <v>138999500</v>
      </c>
      <c r="Q134" s="567">
        <v>138999500</v>
      </c>
      <c r="R134" s="567">
        <f>H134-M134</f>
        <v>0</v>
      </c>
      <c r="S134" s="566"/>
      <c r="T134" s="566"/>
      <c r="U134" s="566"/>
      <c r="V134" s="566"/>
      <c r="W134" s="566"/>
      <c r="X134" s="566"/>
    </row>
    <row r="135" spans="2:24" ht="6" customHeight="1"/>
    <row r="136" spans="2:24" ht="16.5" customHeight="1">
      <c r="C136" s="1" t="s">
        <v>489</v>
      </c>
    </row>
    <row r="137" spans="2:24" ht="16.5" customHeight="1"/>
    <row r="138" spans="2:24" ht="16.5" customHeight="1">
      <c r="B138" s="1" t="s">
        <v>80</v>
      </c>
      <c r="C138" s="1" t="s">
        <v>81</v>
      </c>
    </row>
    <row r="139" spans="2:24" ht="16.5" customHeight="1">
      <c r="C139" s="1" t="s">
        <v>82</v>
      </c>
    </row>
    <row r="140" spans="2:24" ht="6.75" customHeight="1"/>
    <row r="141" spans="2:24" s="16" customFormat="1" ht="20.25" customHeight="1">
      <c r="C141" s="568" t="s">
        <v>42</v>
      </c>
      <c r="D141" s="568"/>
      <c r="E141" s="568"/>
      <c r="F141" s="568"/>
      <c r="G141" s="568"/>
      <c r="H141" s="568"/>
      <c r="I141" s="568"/>
      <c r="J141" s="568" t="s">
        <v>43</v>
      </c>
      <c r="K141" s="568"/>
      <c r="L141" s="568"/>
      <c r="M141" s="568"/>
      <c r="N141" s="568"/>
      <c r="O141" s="568" t="s">
        <v>44</v>
      </c>
      <c r="P141" s="568"/>
      <c r="Q141" s="568"/>
      <c r="R141" s="568"/>
      <c r="S141" s="568"/>
      <c r="T141" s="568" t="s">
        <v>55</v>
      </c>
      <c r="U141" s="568"/>
      <c r="V141" s="568"/>
      <c r="W141" s="568"/>
      <c r="X141" s="568"/>
    </row>
    <row r="142" spans="2:24" s="16" customFormat="1" ht="32.25" customHeight="1">
      <c r="C142" s="606" t="s">
        <v>83</v>
      </c>
      <c r="D142" s="607"/>
      <c r="E142" s="607"/>
      <c r="F142" s="607"/>
      <c r="G142" s="607"/>
      <c r="H142" s="607"/>
      <c r="I142" s="608"/>
      <c r="J142" s="609">
        <v>0</v>
      </c>
      <c r="K142" s="610"/>
      <c r="L142" s="610"/>
      <c r="M142" s="610"/>
      <c r="N142" s="611"/>
      <c r="O142" s="609">
        <v>0</v>
      </c>
      <c r="P142" s="610"/>
      <c r="Q142" s="610"/>
      <c r="R142" s="610"/>
      <c r="S142" s="611"/>
      <c r="T142" s="609">
        <f>J142-O142</f>
        <v>0</v>
      </c>
      <c r="U142" s="610"/>
      <c r="V142" s="610"/>
      <c r="W142" s="610"/>
      <c r="X142" s="611"/>
    </row>
    <row r="143" spans="2:24" s="16" customFormat="1" ht="32.25" customHeight="1">
      <c r="C143" s="606" t="s">
        <v>84</v>
      </c>
      <c r="D143" s="607"/>
      <c r="E143" s="607"/>
      <c r="F143" s="607"/>
      <c r="G143" s="607"/>
      <c r="H143" s="607"/>
      <c r="I143" s="608"/>
      <c r="J143" s="609">
        <v>0</v>
      </c>
      <c r="K143" s="610"/>
      <c r="L143" s="610"/>
      <c r="M143" s="610"/>
      <c r="N143" s="611"/>
      <c r="O143" s="609">
        <v>0</v>
      </c>
      <c r="P143" s="610"/>
      <c r="Q143" s="610"/>
      <c r="R143" s="610"/>
      <c r="S143" s="611"/>
      <c r="T143" s="609">
        <f t="shared" ref="T143:T149" si="1">J143-O143</f>
        <v>0</v>
      </c>
      <c r="U143" s="610"/>
      <c r="V143" s="610"/>
      <c r="W143" s="610"/>
      <c r="X143" s="611"/>
    </row>
    <row r="144" spans="2:24" s="16" customFormat="1" ht="32.25" customHeight="1">
      <c r="C144" s="606" t="s">
        <v>85</v>
      </c>
      <c r="D144" s="607"/>
      <c r="E144" s="607"/>
      <c r="F144" s="607"/>
      <c r="G144" s="607"/>
      <c r="H144" s="607"/>
      <c r="I144" s="608"/>
      <c r="J144" s="609">
        <v>0</v>
      </c>
      <c r="K144" s="610"/>
      <c r="L144" s="610"/>
      <c r="M144" s="610"/>
      <c r="N144" s="611"/>
      <c r="O144" s="609">
        <v>0</v>
      </c>
      <c r="P144" s="610"/>
      <c r="Q144" s="610"/>
      <c r="R144" s="610"/>
      <c r="S144" s="611"/>
      <c r="T144" s="609">
        <f t="shared" si="1"/>
        <v>0</v>
      </c>
      <c r="U144" s="610"/>
      <c r="V144" s="610"/>
      <c r="W144" s="610"/>
      <c r="X144" s="611"/>
    </row>
    <row r="145" spans="2:26" s="16" customFormat="1" ht="32.25" customHeight="1">
      <c r="C145" s="606" t="s">
        <v>86</v>
      </c>
      <c r="D145" s="607"/>
      <c r="E145" s="607"/>
      <c r="F145" s="607"/>
      <c r="G145" s="607"/>
      <c r="H145" s="607"/>
      <c r="I145" s="608"/>
      <c r="J145" s="609">
        <v>15100000</v>
      </c>
      <c r="K145" s="610"/>
      <c r="L145" s="610"/>
      <c r="M145" s="610"/>
      <c r="N145" s="611"/>
      <c r="O145" s="609">
        <v>11000000</v>
      </c>
      <c r="P145" s="610"/>
      <c r="Q145" s="610"/>
      <c r="R145" s="610"/>
      <c r="S145" s="611"/>
      <c r="T145" s="609">
        <f t="shared" si="1"/>
        <v>4100000</v>
      </c>
      <c r="U145" s="610"/>
      <c r="V145" s="610"/>
      <c r="W145" s="610"/>
      <c r="X145" s="611"/>
    </row>
    <row r="146" spans="2:26" s="16" customFormat="1" ht="61.5" customHeight="1">
      <c r="C146" s="606" t="s">
        <v>87</v>
      </c>
      <c r="D146" s="607"/>
      <c r="E146" s="607"/>
      <c r="F146" s="607"/>
      <c r="G146" s="607"/>
      <c r="H146" s="607"/>
      <c r="I146" s="608"/>
      <c r="J146" s="609">
        <v>0</v>
      </c>
      <c r="K146" s="610"/>
      <c r="L146" s="610"/>
      <c r="M146" s="610"/>
      <c r="N146" s="611"/>
      <c r="O146" s="609">
        <v>0</v>
      </c>
      <c r="P146" s="610"/>
      <c r="Q146" s="610"/>
      <c r="R146" s="610"/>
      <c r="S146" s="611"/>
      <c r="T146" s="609">
        <f t="shared" si="1"/>
        <v>0</v>
      </c>
      <c r="U146" s="610"/>
      <c r="V146" s="610"/>
      <c r="W146" s="610"/>
      <c r="X146" s="611"/>
    </row>
    <row r="147" spans="2:26" s="16" customFormat="1" ht="32.25" customHeight="1">
      <c r="C147" s="606" t="s">
        <v>88</v>
      </c>
      <c r="D147" s="607"/>
      <c r="E147" s="607"/>
      <c r="F147" s="607"/>
      <c r="G147" s="607"/>
      <c r="H147" s="607"/>
      <c r="I147" s="608"/>
      <c r="J147" s="641">
        <v>3500000</v>
      </c>
      <c r="K147" s="642">
        <v>355500000</v>
      </c>
      <c r="L147" s="642">
        <v>355500000</v>
      </c>
      <c r="M147" s="642">
        <v>355500000</v>
      </c>
      <c r="N147" s="643">
        <v>355500000</v>
      </c>
      <c r="O147" s="644">
        <v>5260209</v>
      </c>
      <c r="P147" s="645">
        <v>367731083</v>
      </c>
      <c r="Q147" s="645">
        <v>367731083</v>
      </c>
      <c r="R147" s="645">
        <v>367731083</v>
      </c>
      <c r="S147" s="646">
        <v>367731083</v>
      </c>
      <c r="T147" s="609">
        <f t="shared" si="1"/>
        <v>-1760209</v>
      </c>
      <c r="U147" s="610"/>
      <c r="V147" s="610"/>
      <c r="W147" s="610"/>
      <c r="X147" s="611"/>
    </row>
    <row r="148" spans="2:26" s="16" customFormat="1" ht="32.25" customHeight="1">
      <c r="C148" s="606" t="s">
        <v>89</v>
      </c>
      <c r="D148" s="607"/>
      <c r="E148" s="607"/>
      <c r="F148" s="607"/>
      <c r="G148" s="607"/>
      <c r="H148" s="607"/>
      <c r="I148" s="608"/>
      <c r="J148" s="609">
        <v>0</v>
      </c>
      <c r="K148" s="610"/>
      <c r="L148" s="610"/>
      <c r="M148" s="610"/>
      <c r="N148" s="611"/>
      <c r="O148" s="609">
        <v>0</v>
      </c>
      <c r="P148" s="610"/>
      <c r="Q148" s="610"/>
      <c r="R148" s="610"/>
      <c r="S148" s="611"/>
      <c r="T148" s="609">
        <f t="shared" si="1"/>
        <v>0</v>
      </c>
      <c r="U148" s="610"/>
      <c r="V148" s="610"/>
      <c r="W148" s="610"/>
      <c r="X148" s="611"/>
    </row>
    <row r="149" spans="2:26" s="16" customFormat="1" ht="19.5" customHeight="1">
      <c r="C149" s="606" t="s">
        <v>50</v>
      </c>
      <c r="D149" s="607"/>
      <c r="E149" s="607"/>
      <c r="F149" s="607"/>
      <c r="G149" s="607"/>
      <c r="H149" s="607"/>
      <c r="I149" s="608"/>
      <c r="J149" s="609">
        <f>J142+J143+J144+J145+J146+J147+J148</f>
        <v>18600000</v>
      </c>
      <c r="K149" s="610"/>
      <c r="L149" s="610"/>
      <c r="M149" s="610"/>
      <c r="N149" s="611"/>
      <c r="O149" s="609">
        <f>O142+O143+O144+O145+O146+O147+O148</f>
        <v>16260209</v>
      </c>
      <c r="P149" s="610"/>
      <c r="Q149" s="610"/>
      <c r="R149" s="610"/>
      <c r="S149" s="611"/>
      <c r="T149" s="609">
        <f t="shared" si="1"/>
        <v>2339791</v>
      </c>
      <c r="U149" s="610"/>
      <c r="V149" s="610"/>
      <c r="W149" s="610"/>
      <c r="X149" s="611"/>
    </row>
    <row r="150" spans="2:26" ht="6.75" customHeight="1"/>
    <row r="151" spans="2:26" ht="15.75" customHeight="1">
      <c r="C151" s="1" t="s">
        <v>241</v>
      </c>
    </row>
    <row r="152" spans="2:26" ht="16.5" customHeight="1">
      <c r="C152" s="2" t="s">
        <v>51</v>
      </c>
      <c r="D152" s="1" t="s">
        <v>498</v>
      </c>
    </row>
    <row r="153" spans="2:26" ht="16.5" customHeight="1">
      <c r="C153" s="2"/>
      <c r="D153" s="1" t="s">
        <v>499</v>
      </c>
    </row>
    <row r="154" spans="2:26" ht="16.5" customHeight="1">
      <c r="C154" s="2"/>
      <c r="D154" s="1" t="s">
        <v>500</v>
      </c>
    </row>
    <row r="155" spans="2:26" ht="16.5" customHeight="1">
      <c r="C155" s="2" t="s">
        <v>52</v>
      </c>
      <c r="D155" s="1" t="s">
        <v>501</v>
      </c>
    </row>
    <row r="156" spans="2:26" ht="16.5" customHeight="1">
      <c r="D156" s="2" t="s">
        <v>90</v>
      </c>
      <c r="E156" s="1" t="s">
        <v>502</v>
      </c>
      <c r="L156" s="2"/>
      <c r="N156" s="38"/>
      <c r="O156" s="38"/>
      <c r="P156" s="38"/>
      <c r="Q156" s="38"/>
      <c r="R156" s="40" t="s">
        <v>6</v>
      </c>
      <c r="S156" s="648">
        <v>2425</v>
      </c>
      <c r="T156" s="648"/>
      <c r="U156" s="648"/>
      <c r="V156" s="648"/>
      <c r="W156" s="648"/>
      <c r="X156" s="648"/>
    </row>
    <row r="157" spans="2:26" ht="16.5" customHeight="1">
      <c r="D157" s="2" t="s">
        <v>91</v>
      </c>
      <c r="E157" s="1" t="s">
        <v>503</v>
      </c>
      <c r="L157" s="2"/>
      <c r="N157" s="39"/>
      <c r="O157" s="39"/>
      <c r="P157" s="39"/>
      <c r="Q157" s="39"/>
      <c r="R157" s="41" t="s">
        <v>6</v>
      </c>
      <c r="S157" s="579">
        <v>5257784</v>
      </c>
      <c r="T157" s="579"/>
      <c r="U157" s="579"/>
      <c r="V157" s="579"/>
      <c r="W157" s="579"/>
      <c r="X157" s="579"/>
      <c r="Z157" s="22"/>
    </row>
    <row r="158" spans="2:26" ht="16.5" customHeight="1">
      <c r="E158" s="12" t="s">
        <v>93</v>
      </c>
      <c r="L158" s="2"/>
      <c r="N158" s="649"/>
      <c r="O158" s="649"/>
      <c r="P158" s="649"/>
      <c r="Q158" s="649"/>
      <c r="R158" s="649"/>
      <c r="S158" s="648">
        <f>SUM(S156:X157)</f>
        <v>5260209</v>
      </c>
      <c r="T158" s="648"/>
      <c r="U158" s="648"/>
      <c r="V158" s="648"/>
      <c r="W158" s="648"/>
      <c r="X158" s="648"/>
    </row>
    <row r="159" spans="2:26" ht="16.5" customHeight="1"/>
    <row r="160" spans="2:26" ht="16.5" customHeight="1">
      <c r="B160" s="1" t="s">
        <v>95</v>
      </c>
      <c r="C160" s="1" t="s">
        <v>94</v>
      </c>
    </row>
    <row r="161" spans="3:26" ht="16.5" customHeight="1">
      <c r="C161" s="1" t="s">
        <v>96</v>
      </c>
    </row>
    <row r="162" spans="3:26" ht="6" customHeight="1"/>
    <row r="163" spans="3:26" s="16" customFormat="1" ht="20.25" customHeight="1">
      <c r="C163" s="568" t="s">
        <v>42</v>
      </c>
      <c r="D163" s="568"/>
      <c r="E163" s="568"/>
      <c r="F163" s="568"/>
      <c r="G163" s="568"/>
      <c r="H163" s="568" t="s">
        <v>43</v>
      </c>
      <c r="I163" s="568"/>
      <c r="J163" s="568"/>
      <c r="K163" s="568"/>
      <c r="L163" s="568"/>
      <c r="M163" s="568" t="s">
        <v>44</v>
      </c>
      <c r="N163" s="568"/>
      <c r="O163" s="568"/>
      <c r="P163" s="568"/>
      <c r="Q163" s="568"/>
      <c r="R163" s="568" t="s">
        <v>55</v>
      </c>
      <c r="S163" s="568"/>
      <c r="T163" s="568"/>
      <c r="U163" s="568"/>
      <c r="V163" s="568"/>
      <c r="W163" s="568"/>
      <c r="X163" s="568"/>
    </row>
    <row r="164" spans="3:26" s="16" customFormat="1" ht="16.5" customHeight="1">
      <c r="C164" s="566" t="s">
        <v>97</v>
      </c>
      <c r="D164" s="566"/>
      <c r="E164" s="566"/>
      <c r="F164" s="566"/>
      <c r="G164" s="566"/>
      <c r="H164" s="567">
        <v>665443980</v>
      </c>
      <c r="I164" s="567">
        <v>138999500</v>
      </c>
      <c r="J164" s="567">
        <v>138999500</v>
      </c>
      <c r="K164" s="567">
        <v>138999500</v>
      </c>
      <c r="L164" s="567">
        <v>138999500</v>
      </c>
      <c r="M164" s="567">
        <v>658741458</v>
      </c>
      <c r="N164" s="567">
        <v>138999500</v>
      </c>
      <c r="O164" s="567">
        <v>138999500</v>
      </c>
      <c r="P164" s="567">
        <v>138999500</v>
      </c>
      <c r="Q164" s="567">
        <v>138999500</v>
      </c>
      <c r="R164" s="567">
        <f>H164-M164</f>
        <v>6702522</v>
      </c>
      <c r="S164" s="566"/>
      <c r="T164" s="566"/>
      <c r="U164" s="566"/>
      <c r="V164" s="566"/>
      <c r="W164" s="566"/>
      <c r="X164" s="566"/>
    </row>
    <row r="165" spans="3:26" s="16" customFormat="1" ht="16.5" customHeight="1">
      <c r="C165" s="566" t="s">
        <v>98</v>
      </c>
      <c r="D165" s="566"/>
      <c r="E165" s="566"/>
      <c r="F165" s="566"/>
      <c r="G165" s="566"/>
      <c r="H165" s="567">
        <v>278864337</v>
      </c>
      <c r="I165" s="567">
        <v>138999500</v>
      </c>
      <c r="J165" s="567">
        <v>138999500</v>
      </c>
      <c r="K165" s="567">
        <v>138999500</v>
      </c>
      <c r="L165" s="567">
        <v>138999500</v>
      </c>
      <c r="M165" s="567">
        <v>243226786</v>
      </c>
      <c r="N165" s="567">
        <v>138999500</v>
      </c>
      <c r="O165" s="567">
        <v>138999500</v>
      </c>
      <c r="P165" s="567">
        <v>138999500</v>
      </c>
      <c r="Q165" s="567">
        <v>138999500</v>
      </c>
      <c r="R165" s="567">
        <f t="shared" ref="R165:R167" si="2">H165-M165</f>
        <v>35637551</v>
      </c>
      <c r="S165" s="566"/>
      <c r="T165" s="566"/>
      <c r="U165" s="566"/>
      <c r="V165" s="566"/>
      <c r="W165" s="566"/>
      <c r="X165" s="566"/>
      <c r="Z165" s="31"/>
    </row>
    <row r="166" spans="3:26" s="16" customFormat="1" ht="16.5" customHeight="1">
      <c r="C166" s="566" t="s">
        <v>99</v>
      </c>
      <c r="D166" s="566"/>
      <c r="E166" s="566"/>
      <c r="F166" s="566"/>
      <c r="G166" s="566"/>
      <c r="H166" s="567">
        <v>102494759</v>
      </c>
      <c r="I166" s="567">
        <v>138999500</v>
      </c>
      <c r="J166" s="567">
        <v>138999500</v>
      </c>
      <c r="K166" s="567">
        <v>138999500</v>
      </c>
      <c r="L166" s="567">
        <v>138999500</v>
      </c>
      <c r="M166" s="567">
        <v>23600000</v>
      </c>
      <c r="N166" s="567">
        <v>138999500</v>
      </c>
      <c r="O166" s="567">
        <v>138999500</v>
      </c>
      <c r="P166" s="567">
        <v>138999500</v>
      </c>
      <c r="Q166" s="567">
        <v>138999500</v>
      </c>
      <c r="R166" s="567">
        <f t="shared" si="2"/>
        <v>78894759</v>
      </c>
      <c r="S166" s="566"/>
      <c r="T166" s="566"/>
      <c r="U166" s="566"/>
      <c r="V166" s="566"/>
      <c r="W166" s="566"/>
      <c r="X166" s="566"/>
    </row>
    <row r="167" spans="3:26" s="16" customFormat="1" ht="16.5" customHeight="1">
      <c r="C167" s="566" t="s">
        <v>101</v>
      </c>
      <c r="D167" s="566"/>
      <c r="E167" s="566"/>
      <c r="F167" s="566"/>
      <c r="G167" s="566"/>
      <c r="H167" s="567">
        <v>0</v>
      </c>
      <c r="I167" s="567">
        <v>138999500</v>
      </c>
      <c r="J167" s="567">
        <v>138999500</v>
      </c>
      <c r="K167" s="567">
        <v>138999500</v>
      </c>
      <c r="L167" s="567">
        <v>138999500</v>
      </c>
      <c r="M167" s="567">
        <v>0</v>
      </c>
      <c r="N167" s="567">
        <v>138999500</v>
      </c>
      <c r="O167" s="567">
        <v>138999500</v>
      </c>
      <c r="P167" s="567">
        <v>138999500</v>
      </c>
      <c r="Q167" s="567">
        <v>138999500</v>
      </c>
      <c r="R167" s="567">
        <f t="shared" si="2"/>
        <v>0</v>
      </c>
      <c r="S167" s="566"/>
      <c r="T167" s="566"/>
      <c r="U167" s="566"/>
      <c r="V167" s="566"/>
      <c r="W167" s="566"/>
      <c r="X167" s="566"/>
    </row>
    <row r="168" spans="3:26" s="16" customFormat="1" ht="16.5" customHeight="1">
      <c r="C168" s="566" t="s">
        <v>100</v>
      </c>
      <c r="D168" s="566"/>
      <c r="E168" s="566"/>
      <c r="F168" s="566"/>
      <c r="G168" s="566"/>
      <c r="H168" s="567">
        <f>H164+H165+H166+H167</f>
        <v>1046803076</v>
      </c>
      <c r="I168" s="567">
        <v>138999500</v>
      </c>
      <c r="J168" s="567">
        <v>138999500</v>
      </c>
      <c r="K168" s="567">
        <v>138999500</v>
      </c>
      <c r="L168" s="567">
        <v>138999500</v>
      </c>
      <c r="M168" s="567">
        <f>M164+M165+M166+M167</f>
        <v>925568244</v>
      </c>
      <c r="N168" s="567">
        <v>138999500</v>
      </c>
      <c r="O168" s="567">
        <v>138999500</v>
      </c>
      <c r="P168" s="567">
        <v>138999500</v>
      </c>
      <c r="Q168" s="567">
        <v>138999500</v>
      </c>
      <c r="R168" s="567">
        <f t="shared" ref="R168" si="3">H168-M168</f>
        <v>121234832</v>
      </c>
      <c r="S168" s="566"/>
      <c r="T168" s="566"/>
      <c r="U168" s="566"/>
      <c r="V168" s="566"/>
      <c r="W168" s="566"/>
      <c r="X168" s="566"/>
    </row>
    <row r="169" spans="3:26" ht="6" customHeight="1"/>
    <row r="170" spans="3:26" ht="16.5" customHeight="1">
      <c r="C170" s="2" t="s">
        <v>51</v>
      </c>
      <c r="D170" s="1" t="s">
        <v>504</v>
      </c>
    </row>
    <row r="171" spans="3:26" s="4" customFormat="1" ht="16.5" customHeight="1">
      <c r="C171" s="20"/>
      <c r="D171" s="4" t="s">
        <v>90</v>
      </c>
      <c r="E171" s="1" t="s">
        <v>129</v>
      </c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20"/>
      <c r="S171" s="650"/>
      <c r="T171" s="650"/>
      <c r="U171" s="650"/>
      <c r="V171" s="650"/>
      <c r="W171" s="650"/>
      <c r="X171" s="650"/>
      <c r="Z171" s="21"/>
    </row>
    <row r="172" spans="3:26" ht="16.5" customHeight="1">
      <c r="C172" s="2"/>
      <c r="E172" s="32" t="s">
        <v>242</v>
      </c>
      <c r="R172" s="20" t="s">
        <v>6</v>
      </c>
      <c r="S172" s="565">
        <v>3955300</v>
      </c>
      <c r="T172" s="565"/>
      <c r="U172" s="565"/>
      <c r="V172" s="565"/>
      <c r="W172" s="565"/>
      <c r="X172" s="565"/>
      <c r="Z172" s="19"/>
    </row>
    <row r="173" spans="3:26" ht="16.5" customHeight="1">
      <c r="C173" s="2"/>
      <c r="D173" s="1" t="s">
        <v>91</v>
      </c>
      <c r="E173" s="32" t="s">
        <v>130</v>
      </c>
      <c r="Z173" s="19"/>
    </row>
    <row r="174" spans="3:26" ht="16.5" customHeight="1">
      <c r="C174" s="2"/>
      <c r="D174" s="1" t="s">
        <v>92</v>
      </c>
      <c r="E174" s="32" t="s">
        <v>243</v>
      </c>
      <c r="R174" s="20" t="s">
        <v>6</v>
      </c>
      <c r="S174" s="565">
        <v>1771475</v>
      </c>
      <c r="T174" s="565"/>
      <c r="U174" s="565"/>
      <c r="V174" s="565"/>
      <c r="W174" s="565"/>
      <c r="X174" s="565"/>
      <c r="Z174" s="19"/>
    </row>
    <row r="175" spans="3:26" ht="16.5" customHeight="1">
      <c r="C175" s="2"/>
      <c r="E175" s="32" t="s">
        <v>244</v>
      </c>
      <c r="R175" s="20" t="s">
        <v>6</v>
      </c>
      <c r="S175" s="565">
        <v>420212</v>
      </c>
      <c r="T175" s="565"/>
      <c r="U175" s="565"/>
      <c r="V175" s="565"/>
      <c r="W175" s="565"/>
      <c r="X175" s="565"/>
      <c r="Z175" s="19"/>
    </row>
    <row r="176" spans="3:26" ht="16.5" customHeight="1">
      <c r="C176" s="2"/>
      <c r="D176" s="1" t="s">
        <v>102</v>
      </c>
      <c r="E176" s="32" t="s">
        <v>357</v>
      </c>
      <c r="R176" s="20"/>
      <c r="S176" s="28"/>
      <c r="T176" s="28"/>
      <c r="U176" s="28"/>
      <c r="V176" s="28"/>
      <c r="W176" s="28"/>
      <c r="X176" s="28"/>
      <c r="Z176" s="19"/>
    </row>
    <row r="177" spans="3:26" ht="16.5" customHeight="1">
      <c r="C177" s="2"/>
      <c r="E177" s="32" t="s">
        <v>505</v>
      </c>
      <c r="R177" s="20" t="s">
        <v>6</v>
      </c>
      <c r="S177" s="565">
        <v>550000</v>
      </c>
      <c r="T177" s="565"/>
      <c r="U177" s="565"/>
      <c r="V177" s="565"/>
      <c r="W177" s="565"/>
      <c r="X177" s="565"/>
      <c r="Z177" s="19"/>
    </row>
    <row r="178" spans="3:26" ht="16.5" customHeight="1">
      <c r="C178" s="2"/>
      <c r="E178" s="32" t="s">
        <v>506</v>
      </c>
      <c r="R178" s="192" t="s">
        <v>6</v>
      </c>
      <c r="S178" s="583">
        <v>5535</v>
      </c>
      <c r="T178" s="583"/>
      <c r="U178" s="583"/>
      <c r="V178" s="583"/>
      <c r="W178" s="583"/>
      <c r="X178" s="583"/>
      <c r="Z178" s="19"/>
    </row>
    <row r="179" spans="3:26" ht="16.5" customHeight="1">
      <c r="C179" s="2"/>
      <c r="E179" s="12" t="s">
        <v>50</v>
      </c>
      <c r="R179" s="20" t="s">
        <v>6</v>
      </c>
      <c r="S179" s="565">
        <f>SUM(S171:X178)</f>
        <v>6702522</v>
      </c>
      <c r="T179" s="565"/>
      <c r="U179" s="565"/>
      <c r="V179" s="565"/>
      <c r="W179" s="565"/>
      <c r="X179" s="565"/>
    </row>
    <row r="180" spans="3:26" ht="16.5" customHeight="1">
      <c r="C180" s="2"/>
      <c r="Z180" s="19"/>
    </row>
    <row r="181" spans="3:26" ht="16.5" customHeight="1">
      <c r="C181" s="2" t="s">
        <v>52</v>
      </c>
      <c r="D181" s="1" t="s">
        <v>537</v>
      </c>
    </row>
    <row r="182" spans="3:26" ht="16.5" customHeight="1">
      <c r="C182" s="2"/>
      <c r="D182" s="2" t="s">
        <v>90</v>
      </c>
      <c r="E182" s="651" t="s">
        <v>103</v>
      </c>
      <c r="F182" s="651"/>
      <c r="G182" s="651"/>
      <c r="H182" s="651"/>
      <c r="I182" s="651"/>
      <c r="J182" s="651"/>
      <c r="K182" s="651"/>
      <c r="L182" s="651"/>
      <c r="M182" s="651"/>
      <c r="N182" s="651"/>
      <c r="O182" s="651"/>
      <c r="P182" s="651"/>
      <c r="Q182" s="651"/>
      <c r="R182" s="2"/>
      <c r="S182" s="565"/>
      <c r="T182" s="565"/>
      <c r="U182" s="565"/>
      <c r="V182" s="565"/>
      <c r="W182" s="565"/>
      <c r="X182" s="565"/>
    </row>
    <row r="183" spans="3:26" ht="16.5" customHeight="1">
      <c r="C183" s="2"/>
      <c r="D183" s="2"/>
      <c r="E183" s="15" t="s">
        <v>53</v>
      </c>
      <c r="F183" s="1" t="s">
        <v>245</v>
      </c>
      <c r="R183" s="2" t="s">
        <v>6</v>
      </c>
      <c r="S183" s="565">
        <v>4459587</v>
      </c>
      <c r="T183" s="565"/>
      <c r="U183" s="565"/>
      <c r="V183" s="565"/>
      <c r="W183" s="565"/>
      <c r="X183" s="565"/>
    </row>
    <row r="184" spans="3:26" ht="16.5" customHeight="1">
      <c r="C184" s="2"/>
      <c r="D184" s="2"/>
      <c r="E184" s="15" t="s">
        <v>53</v>
      </c>
      <c r="F184" s="1" t="s">
        <v>507</v>
      </c>
      <c r="R184" s="2" t="s">
        <v>6</v>
      </c>
      <c r="S184" s="565">
        <v>320000</v>
      </c>
      <c r="T184" s="565"/>
      <c r="U184" s="565"/>
      <c r="V184" s="565"/>
      <c r="W184" s="565"/>
      <c r="X184" s="565"/>
    </row>
    <row r="185" spans="3:26" ht="16.5" customHeight="1">
      <c r="C185" s="2"/>
      <c r="D185" s="2"/>
      <c r="E185" s="15" t="s">
        <v>53</v>
      </c>
      <c r="F185" s="1" t="s">
        <v>508</v>
      </c>
      <c r="R185" s="2" t="s">
        <v>6</v>
      </c>
      <c r="S185" s="565">
        <v>55700</v>
      </c>
      <c r="T185" s="565"/>
      <c r="U185" s="565"/>
      <c r="V185" s="565"/>
      <c r="W185" s="565"/>
      <c r="X185" s="565"/>
    </row>
    <row r="186" spans="3:26" ht="16.5" customHeight="1">
      <c r="C186" s="2"/>
      <c r="D186" s="2"/>
      <c r="E186" s="15" t="s">
        <v>53</v>
      </c>
      <c r="F186" s="1" t="s">
        <v>509</v>
      </c>
      <c r="R186" s="2" t="s">
        <v>6</v>
      </c>
      <c r="S186" s="565">
        <v>4642772</v>
      </c>
      <c r="T186" s="565"/>
      <c r="U186" s="565"/>
      <c r="V186" s="565"/>
      <c r="W186" s="565"/>
      <c r="X186" s="565"/>
    </row>
    <row r="187" spans="3:26" ht="16.5" customHeight="1">
      <c r="C187" s="2"/>
      <c r="D187" s="2"/>
      <c r="E187" s="15" t="s">
        <v>53</v>
      </c>
      <c r="F187" s="1" t="s">
        <v>510</v>
      </c>
      <c r="R187" s="2" t="s">
        <v>6</v>
      </c>
      <c r="S187" s="565">
        <v>470000</v>
      </c>
      <c r="T187" s="565"/>
      <c r="U187" s="565"/>
      <c r="V187" s="565"/>
      <c r="W187" s="565"/>
      <c r="X187" s="565"/>
    </row>
    <row r="188" spans="3:26" ht="16.5" customHeight="1">
      <c r="C188" s="2"/>
      <c r="D188" s="2"/>
      <c r="E188" s="15" t="s">
        <v>53</v>
      </c>
      <c r="F188" s="1" t="s">
        <v>511</v>
      </c>
      <c r="R188" s="2" t="s">
        <v>6</v>
      </c>
      <c r="S188" s="565">
        <v>880000</v>
      </c>
      <c r="T188" s="565"/>
      <c r="U188" s="565"/>
      <c r="V188" s="565"/>
      <c r="W188" s="565"/>
      <c r="X188" s="565"/>
    </row>
    <row r="189" spans="3:26" ht="16.5" customHeight="1">
      <c r="C189" s="2"/>
      <c r="D189" s="2"/>
      <c r="E189" s="15" t="s">
        <v>53</v>
      </c>
      <c r="F189" s="1" t="s">
        <v>258</v>
      </c>
      <c r="R189" s="2" t="s">
        <v>6</v>
      </c>
      <c r="S189" s="565">
        <v>700000</v>
      </c>
      <c r="T189" s="565"/>
      <c r="U189" s="565"/>
      <c r="V189" s="565"/>
      <c r="W189" s="565"/>
      <c r="X189" s="565"/>
    </row>
    <row r="190" spans="3:26" ht="16.5" customHeight="1">
      <c r="C190" s="2"/>
      <c r="D190" s="2"/>
      <c r="E190" s="15" t="s">
        <v>53</v>
      </c>
      <c r="F190" s="1" t="s">
        <v>512</v>
      </c>
      <c r="R190" s="2" t="s">
        <v>6</v>
      </c>
      <c r="S190" s="565">
        <v>2400000</v>
      </c>
      <c r="T190" s="565"/>
      <c r="U190" s="565"/>
      <c r="V190" s="565"/>
      <c r="W190" s="565"/>
      <c r="X190" s="565"/>
    </row>
    <row r="191" spans="3:26" ht="16.5" customHeight="1">
      <c r="C191" s="2"/>
      <c r="D191" s="2"/>
      <c r="E191" s="15" t="s">
        <v>53</v>
      </c>
      <c r="F191" s="1" t="s">
        <v>246</v>
      </c>
      <c r="R191" s="2" t="s">
        <v>6</v>
      </c>
      <c r="S191" s="565">
        <v>20000</v>
      </c>
      <c r="T191" s="565"/>
      <c r="U191" s="565"/>
      <c r="V191" s="565"/>
      <c r="W191" s="565"/>
      <c r="X191" s="565"/>
    </row>
    <row r="192" spans="3:26" ht="16.5" customHeight="1">
      <c r="C192" s="2"/>
      <c r="D192" s="2"/>
      <c r="E192" s="15" t="s">
        <v>53</v>
      </c>
      <c r="F192" s="1" t="s">
        <v>513</v>
      </c>
      <c r="R192" s="2" t="s">
        <v>6</v>
      </c>
      <c r="S192" s="565">
        <v>1540000</v>
      </c>
      <c r="T192" s="565"/>
      <c r="U192" s="565"/>
      <c r="V192" s="565"/>
      <c r="W192" s="565"/>
      <c r="X192" s="565"/>
    </row>
    <row r="193" spans="3:26" ht="16.5" customHeight="1">
      <c r="C193" s="2"/>
      <c r="D193" s="2"/>
      <c r="E193" s="15" t="s">
        <v>53</v>
      </c>
      <c r="F193" s="1" t="s">
        <v>247</v>
      </c>
      <c r="R193" s="2" t="s">
        <v>6</v>
      </c>
      <c r="S193" s="565">
        <v>18000</v>
      </c>
      <c r="T193" s="565"/>
      <c r="U193" s="565"/>
      <c r="V193" s="565"/>
      <c r="W193" s="565"/>
      <c r="X193" s="565"/>
    </row>
    <row r="194" spans="3:26" ht="16.5" customHeight="1">
      <c r="C194" s="2"/>
      <c r="D194" s="2"/>
      <c r="E194" s="15" t="s">
        <v>53</v>
      </c>
      <c r="F194" s="1" t="s">
        <v>248</v>
      </c>
      <c r="R194" s="2" t="s">
        <v>6</v>
      </c>
      <c r="S194" s="565">
        <v>567990</v>
      </c>
      <c r="T194" s="565"/>
      <c r="U194" s="565"/>
      <c r="V194" s="565"/>
      <c r="W194" s="565"/>
      <c r="X194" s="565"/>
    </row>
    <row r="195" spans="3:26" ht="16.5" customHeight="1">
      <c r="C195" s="2"/>
      <c r="D195" s="2"/>
      <c r="E195" s="15" t="s">
        <v>53</v>
      </c>
      <c r="F195" s="1" t="s">
        <v>514</v>
      </c>
      <c r="R195" s="2" t="s">
        <v>6</v>
      </c>
      <c r="S195" s="565">
        <v>2000000</v>
      </c>
      <c r="T195" s="565"/>
      <c r="U195" s="565"/>
      <c r="V195" s="565"/>
      <c r="W195" s="565"/>
      <c r="X195" s="565"/>
      <c r="Z195" s="17"/>
    </row>
    <row r="196" spans="3:26" ht="16.5" customHeight="1">
      <c r="C196" s="2"/>
      <c r="D196" s="2"/>
      <c r="E196" s="15" t="s">
        <v>53</v>
      </c>
      <c r="F196" s="1" t="s">
        <v>250</v>
      </c>
      <c r="R196" s="2" t="s">
        <v>6</v>
      </c>
      <c r="S196" s="565">
        <v>2337452</v>
      </c>
      <c r="T196" s="565"/>
      <c r="U196" s="565"/>
      <c r="V196" s="565"/>
      <c r="W196" s="565"/>
      <c r="X196" s="565"/>
    </row>
    <row r="197" spans="3:26" ht="16.5" customHeight="1">
      <c r="C197" s="2"/>
      <c r="D197" s="2" t="s">
        <v>91</v>
      </c>
      <c r="E197" s="32" t="s">
        <v>515</v>
      </c>
      <c r="R197" s="2"/>
      <c r="S197" s="565"/>
      <c r="T197" s="565"/>
      <c r="U197" s="565"/>
      <c r="V197" s="565"/>
      <c r="W197" s="565"/>
      <c r="X197" s="565"/>
    </row>
    <row r="198" spans="3:26" ht="16.5" customHeight="1">
      <c r="C198" s="2"/>
      <c r="D198" s="2"/>
      <c r="E198" s="190" t="s">
        <v>53</v>
      </c>
      <c r="F198" s="1" t="s">
        <v>246</v>
      </c>
      <c r="R198" s="2" t="s">
        <v>6</v>
      </c>
      <c r="S198" s="565">
        <v>60000</v>
      </c>
      <c r="T198" s="565"/>
      <c r="U198" s="565"/>
      <c r="V198" s="565"/>
      <c r="W198" s="565"/>
      <c r="X198" s="565"/>
    </row>
    <row r="199" spans="3:26" ht="16.5" customHeight="1">
      <c r="C199" s="2"/>
      <c r="D199" s="2" t="s">
        <v>92</v>
      </c>
      <c r="E199" s="190" t="s">
        <v>358</v>
      </c>
      <c r="R199" s="2"/>
      <c r="S199" s="28"/>
      <c r="T199" s="28"/>
      <c r="U199" s="28"/>
      <c r="V199" s="28"/>
      <c r="W199" s="28"/>
      <c r="X199" s="28"/>
    </row>
    <row r="200" spans="3:26" ht="16.5" customHeight="1">
      <c r="C200" s="2"/>
      <c r="D200" s="2"/>
      <c r="E200" s="190" t="s">
        <v>53</v>
      </c>
      <c r="F200" s="1" t="s">
        <v>252</v>
      </c>
      <c r="R200" s="2" t="s">
        <v>6</v>
      </c>
      <c r="S200" s="565">
        <v>600000</v>
      </c>
      <c r="T200" s="565"/>
      <c r="U200" s="565"/>
      <c r="V200" s="565"/>
      <c r="W200" s="565"/>
      <c r="X200" s="565"/>
    </row>
    <row r="201" spans="3:26" ht="16.5" customHeight="1">
      <c r="C201" s="2"/>
      <c r="D201" s="2" t="s">
        <v>102</v>
      </c>
      <c r="E201" s="190" t="s">
        <v>516</v>
      </c>
      <c r="R201" s="2"/>
      <c r="S201" s="28"/>
      <c r="T201" s="28"/>
      <c r="U201" s="28"/>
      <c r="V201" s="28"/>
      <c r="W201" s="28"/>
      <c r="X201" s="28"/>
    </row>
    <row r="202" spans="3:26" ht="16.5" customHeight="1">
      <c r="C202" s="2"/>
      <c r="D202" s="2"/>
      <c r="E202" s="190" t="s">
        <v>53</v>
      </c>
      <c r="F202" s="1" t="s">
        <v>245</v>
      </c>
      <c r="R202" s="2" t="s">
        <v>6</v>
      </c>
      <c r="S202" s="565">
        <v>1094000</v>
      </c>
      <c r="T202" s="565"/>
      <c r="U202" s="565"/>
      <c r="V202" s="565"/>
      <c r="W202" s="565"/>
      <c r="X202" s="565"/>
    </row>
    <row r="203" spans="3:26" ht="16.5" customHeight="1">
      <c r="C203" s="2"/>
      <c r="D203" s="2"/>
      <c r="E203" s="190" t="s">
        <v>53</v>
      </c>
      <c r="F203" s="1" t="s">
        <v>251</v>
      </c>
      <c r="R203" s="2" t="s">
        <v>6</v>
      </c>
      <c r="S203" s="565">
        <v>416250</v>
      </c>
      <c r="T203" s="565"/>
      <c r="U203" s="565"/>
      <c r="V203" s="565"/>
      <c r="W203" s="565"/>
      <c r="X203" s="565"/>
    </row>
    <row r="204" spans="3:26" ht="16.5" customHeight="1">
      <c r="C204" s="2"/>
      <c r="D204" s="2"/>
      <c r="E204" s="190" t="s">
        <v>53</v>
      </c>
      <c r="F204" s="1" t="s">
        <v>517</v>
      </c>
      <c r="R204" s="2" t="s">
        <v>6</v>
      </c>
      <c r="S204" s="565">
        <v>2415000</v>
      </c>
      <c r="T204" s="565"/>
      <c r="U204" s="565"/>
      <c r="V204" s="565"/>
      <c r="W204" s="565"/>
      <c r="X204" s="565"/>
    </row>
    <row r="205" spans="3:26" ht="16.5" customHeight="1">
      <c r="C205" s="2"/>
      <c r="D205" s="2" t="s">
        <v>105</v>
      </c>
      <c r="E205" s="190" t="s">
        <v>518</v>
      </c>
      <c r="R205" s="2"/>
      <c r="S205" s="28"/>
      <c r="T205" s="28"/>
      <c r="U205" s="28"/>
      <c r="V205" s="28"/>
      <c r="W205" s="28"/>
      <c r="X205" s="28"/>
    </row>
    <row r="206" spans="3:26" ht="16.5" customHeight="1">
      <c r="C206" s="2"/>
      <c r="D206" s="2"/>
      <c r="E206" s="190" t="s">
        <v>53</v>
      </c>
      <c r="F206" s="1" t="s">
        <v>245</v>
      </c>
      <c r="R206" s="2" t="s">
        <v>6</v>
      </c>
      <c r="S206" s="565">
        <v>23000</v>
      </c>
      <c r="T206" s="565"/>
      <c r="U206" s="565"/>
      <c r="V206" s="565"/>
      <c r="W206" s="565"/>
      <c r="X206" s="565"/>
    </row>
    <row r="207" spans="3:26" ht="16.5" customHeight="1">
      <c r="C207" s="2"/>
      <c r="D207" s="2" t="s">
        <v>106</v>
      </c>
      <c r="E207" s="32" t="s">
        <v>104</v>
      </c>
      <c r="R207" s="2"/>
      <c r="S207" s="565"/>
      <c r="T207" s="565"/>
      <c r="U207" s="565"/>
      <c r="V207" s="565"/>
      <c r="W207" s="565"/>
      <c r="X207" s="565"/>
    </row>
    <row r="208" spans="3:26" ht="16.5" customHeight="1">
      <c r="C208" s="2"/>
      <c r="D208" s="2"/>
      <c r="E208" s="190" t="s">
        <v>53</v>
      </c>
      <c r="F208" s="1" t="s">
        <v>249</v>
      </c>
      <c r="R208" s="2" t="s">
        <v>6</v>
      </c>
      <c r="S208" s="565">
        <v>850800</v>
      </c>
      <c r="T208" s="565"/>
      <c r="U208" s="565"/>
      <c r="V208" s="565"/>
      <c r="W208" s="565"/>
      <c r="X208" s="565"/>
    </row>
    <row r="209" spans="3:24" ht="16.5" customHeight="1">
      <c r="C209" s="2"/>
      <c r="D209" s="2"/>
      <c r="E209" s="190" t="s">
        <v>53</v>
      </c>
      <c r="F209" s="1" t="s">
        <v>519</v>
      </c>
      <c r="R209" s="2" t="s">
        <v>6</v>
      </c>
      <c r="S209" s="565">
        <v>1340000</v>
      </c>
      <c r="T209" s="565"/>
      <c r="U209" s="565"/>
      <c r="V209" s="565"/>
      <c r="W209" s="565"/>
      <c r="X209" s="565"/>
    </row>
    <row r="210" spans="3:24" ht="16.5" customHeight="1">
      <c r="C210" s="2"/>
      <c r="D210" s="2" t="s">
        <v>107</v>
      </c>
      <c r="E210" s="32" t="s">
        <v>520</v>
      </c>
      <c r="R210" s="2"/>
      <c r="S210" s="565"/>
      <c r="T210" s="565"/>
      <c r="U210" s="565"/>
      <c r="V210" s="565"/>
      <c r="W210" s="565"/>
      <c r="X210" s="565"/>
    </row>
    <row r="211" spans="3:24" ht="16.5" customHeight="1">
      <c r="C211" s="2"/>
      <c r="D211" s="2"/>
      <c r="E211" s="190" t="s">
        <v>53</v>
      </c>
      <c r="F211" s="1" t="s">
        <v>521</v>
      </c>
      <c r="R211" s="2" t="s">
        <v>6</v>
      </c>
      <c r="S211" s="565">
        <v>1072000</v>
      </c>
      <c r="T211" s="565"/>
      <c r="U211" s="565"/>
      <c r="V211" s="565"/>
      <c r="W211" s="565"/>
      <c r="X211" s="565"/>
    </row>
    <row r="212" spans="3:24" ht="16.5" customHeight="1">
      <c r="C212" s="2"/>
      <c r="D212" s="2" t="s">
        <v>108</v>
      </c>
      <c r="E212" s="190" t="s">
        <v>522</v>
      </c>
      <c r="R212" s="2"/>
      <c r="S212" s="28"/>
      <c r="T212" s="28"/>
      <c r="U212" s="28"/>
      <c r="V212" s="28"/>
      <c r="W212" s="28"/>
      <c r="X212" s="28"/>
    </row>
    <row r="213" spans="3:24" ht="16.5" customHeight="1">
      <c r="C213" s="2"/>
      <c r="D213" s="2"/>
      <c r="E213" s="190" t="s">
        <v>53</v>
      </c>
      <c r="F213" s="1" t="s">
        <v>251</v>
      </c>
      <c r="R213" s="2" t="s">
        <v>6</v>
      </c>
      <c r="S213" s="565">
        <v>190000</v>
      </c>
      <c r="T213" s="565"/>
      <c r="U213" s="565"/>
      <c r="V213" s="565"/>
      <c r="W213" s="565"/>
      <c r="X213" s="565"/>
    </row>
    <row r="214" spans="3:24" ht="16.5" customHeight="1">
      <c r="C214" s="2"/>
      <c r="D214" s="2"/>
      <c r="E214" s="190" t="s">
        <v>53</v>
      </c>
      <c r="F214" s="1" t="s">
        <v>523</v>
      </c>
      <c r="R214" s="2" t="s">
        <v>6</v>
      </c>
      <c r="S214" s="565">
        <v>500000</v>
      </c>
      <c r="T214" s="565"/>
      <c r="U214" s="565"/>
      <c r="V214" s="565"/>
      <c r="W214" s="565"/>
      <c r="X214" s="565"/>
    </row>
    <row r="215" spans="3:24" ht="16.5" customHeight="1">
      <c r="C215" s="2"/>
      <c r="D215" s="2" t="s">
        <v>109</v>
      </c>
      <c r="E215" s="190" t="s">
        <v>360</v>
      </c>
      <c r="R215" s="2"/>
      <c r="S215" s="28"/>
      <c r="T215" s="28"/>
      <c r="U215" s="28"/>
      <c r="V215" s="28"/>
      <c r="W215" s="28"/>
      <c r="X215" s="28"/>
    </row>
    <row r="216" spans="3:24" ht="16.5" customHeight="1">
      <c r="C216" s="2"/>
      <c r="D216" s="2"/>
      <c r="E216" s="190" t="s">
        <v>53</v>
      </c>
      <c r="F216" s="1" t="s">
        <v>251</v>
      </c>
      <c r="R216" s="2" t="s">
        <v>6</v>
      </c>
      <c r="S216" s="565">
        <v>150000</v>
      </c>
      <c r="T216" s="565"/>
      <c r="U216" s="565"/>
      <c r="V216" s="565"/>
      <c r="W216" s="565"/>
      <c r="X216" s="565"/>
    </row>
    <row r="217" spans="3:24" ht="16.5" customHeight="1">
      <c r="C217" s="2"/>
      <c r="D217" s="2"/>
      <c r="E217" s="190" t="s">
        <v>53</v>
      </c>
      <c r="F217" s="1" t="s">
        <v>252</v>
      </c>
      <c r="R217" s="2" t="s">
        <v>6</v>
      </c>
      <c r="S217" s="565">
        <v>1400000</v>
      </c>
      <c r="T217" s="565"/>
      <c r="U217" s="565"/>
      <c r="V217" s="565"/>
      <c r="W217" s="565"/>
      <c r="X217" s="565"/>
    </row>
    <row r="218" spans="3:24" ht="16.5" customHeight="1">
      <c r="C218" s="2"/>
      <c r="D218" s="2" t="s">
        <v>110</v>
      </c>
      <c r="E218" s="32" t="s">
        <v>524</v>
      </c>
      <c r="R218" s="2"/>
      <c r="S218" s="565"/>
      <c r="T218" s="565"/>
      <c r="U218" s="565"/>
      <c r="V218" s="565"/>
      <c r="W218" s="565"/>
      <c r="X218" s="565"/>
    </row>
    <row r="219" spans="3:24" ht="16.5" customHeight="1">
      <c r="C219" s="2"/>
      <c r="D219" s="2"/>
      <c r="E219" s="190" t="s">
        <v>53</v>
      </c>
      <c r="F219" s="1" t="s">
        <v>245</v>
      </c>
      <c r="R219" s="2" t="s">
        <v>6</v>
      </c>
      <c r="S219" s="565">
        <v>120000</v>
      </c>
      <c r="T219" s="565"/>
      <c r="U219" s="565"/>
      <c r="V219" s="565"/>
      <c r="W219" s="565"/>
      <c r="X219" s="565"/>
    </row>
    <row r="220" spans="3:24" ht="16.5" customHeight="1">
      <c r="C220" s="2"/>
      <c r="D220" s="2"/>
      <c r="E220" s="190" t="s">
        <v>53</v>
      </c>
      <c r="F220" s="1" t="s">
        <v>251</v>
      </c>
      <c r="R220" s="2" t="s">
        <v>6</v>
      </c>
      <c r="S220" s="565">
        <v>200000</v>
      </c>
      <c r="T220" s="565"/>
      <c r="U220" s="565"/>
      <c r="V220" s="565"/>
      <c r="W220" s="565"/>
      <c r="X220" s="565"/>
    </row>
    <row r="221" spans="3:24" ht="16.5" customHeight="1">
      <c r="C221" s="2"/>
      <c r="D221" s="2"/>
      <c r="E221" s="190" t="s">
        <v>53</v>
      </c>
      <c r="F221" s="1" t="s">
        <v>252</v>
      </c>
      <c r="R221" s="2" t="s">
        <v>6</v>
      </c>
      <c r="S221" s="565">
        <v>1305000</v>
      </c>
      <c r="T221" s="565"/>
      <c r="U221" s="565"/>
      <c r="V221" s="565"/>
      <c r="W221" s="565"/>
      <c r="X221" s="565"/>
    </row>
    <row r="222" spans="3:24" ht="16.5" customHeight="1">
      <c r="C222" s="2"/>
      <c r="D222" s="2" t="s">
        <v>111</v>
      </c>
      <c r="E222" s="190" t="s">
        <v>525</v>
      </c>
      <c r="R222" s="2"/>
      <c r="S222" s="28"/>
      <c r="T222" s="28"/>
      <c r="U222" s="28"/>
      <c r="V222" s="28"/>
      <c r="W222" s="28"/>
      <c r="X222" s="28"/>
    </row>
    <row r="223" spans="3:24" ht="16.5" customHeight="1">
      <c r="C223" s="2"/>
      <c r="D223" s="2"/>
      <c r="E223" s="190" t="s">
        <v>53</v>
      </c>
      <c r="F223" s="1" t="s">
        <v>245</v>
      </c>
      <c r="R223" s="2" t="s">
        <v>6</v>
      </c>
      <c r="S223" s="565">
        <v>100000</v>
      </c>
      <c r="T223" s="565"/>
      <c r="U223" s="565"/>
      <c r="V223" s="565"/>
      <c r="W223" s="565"/>
      <c r="X223" s="565"/>
    </row>
    <row r="224" spans="3:24" ht="16.5" customHeight="1">
      <c r="C224" s="2"/>
      <c r="D224" s="2"/>
      <c r="E224" s="190" t="s">
        <v>53</v>
      </c>
      <c r="F224" s="1" t="s">
        <v>252</v>
      </c>
      <c r="R224" s="2" t="s">
        <v>6</v>
      </c>
      <c r="S224" s="565">
        <v>830000</v>
      </c>
      <c r="T224" s="565"/>
      <c r="U224" s="565"/>
      <c r="V224" s="565"/>
      <c r="W224" s="565"/>
      <c r="X224" s="565"/>
    </row>
    <row r="225" spans="3:24" ht="16.5" customHeight="1">
      <c r="C225" s="2"/>
      <c r="D225" s="1" t="s">
        <v>526</v>
      </c>
      <c r="E225" s="32" t="s">
        <v>112</v>
      </c>
      <c r="R225" s="2"/>
      <c r="S225" s="565"/>
      <c r="T225" s="565"/>
      <c r="U225" s="565"/>
      <c r="V225" s="565"/>
      <c r="W225" s="565"/>
      <c r="X225" s="565"/>
    </row>
    <row r="226" spans="3:24" ht="16.5" customHeight="1">
      <c r="C226" s="2"/>
      <c r="D226" s="2"/>
      <c r="E226" s="190" t="s">
        <v>53</v>
      </c>
      <c r="F226" s="1" t="s">
        <v>251</v>
      </c>
      <c r="R226" s="2" t="s">
        <v>6</v>
      </c>
      <c r="S226" s="565">
        <v>200000</v>
      </c>
      <c r="T226" s="565"/>
      <c r="U226" s="565"/>
      <c r="V226" s="565"/>
      <c r="W226" s="565"/>
      <c r="X226" s="565"/>
    </row>
    <row r="227" spans="3:24" ht="16.5" customHeight="1">
      <c r="C227" s="2"/>
      <c r="D227" s="2"/>
      <c r="E227" s="190" t="s">
        <v>53</v>
      </c>
      <c r="F227" s="1" t="s">
        <v>527</v>
      </c>
      <c r="R227" s="2" t="s">
        <v>6</v>
      </c>
      <c r="S227" s="565">
        <v>100000</v>
      </c>
      <c r="T227" s="565"/>
      <c r="U227" s="565"/>
      <c r="V227" s="565"/>
      <c r="W227" s="565"/>
      <c r="X227" s="565"/>
    </row>
    <row r="228" spans="3:24" ht="16.5" customHeight="1">
      <c r="C228" s="2"/>
      <c r="D228" s="1" t="s">
        <v>528</v>
      </c>
      <c r="E228" s="32" t="s">
        <v>113</v>
      </c>
      <c r="R228" s="2" t="s">
        <v>6</v>
      </c>
      <c r="S228" s="565"/>
      <c r="T228" s="565"/>
      <c r="U228" s="565"/>
      <c r="V228" s="565"/>
      <c r="W228" s="565"/>
      <c r="X228" s="565"/>
    </row>
    <row r="229" spans="3:24" ht="16.5" customHeight="1">
      <c r="C229" s="2"/>
      <c r="E229" s="190" t="s">
        <v>53</v>
      </c>
      <c r="F229" s="1" t="s">
        <v>527</v>
      </c>
      <c r="R229" s="2" t="s">
        <v>6</v>
      </c>
      <c r="S229" s="565">
        <v>1260000</v>
      </c>
      <c r="T229" s="565"/>
      <c r="U229" s="565"/>
      <c r="V229" s="565"/>
      <c r="W229" s="565"/>
      <c r="X229" s="565"/>
    </row>
    <row r="230" spans="3:24" ht="16.5" customHeight="1">
      <c r="C230" s="2"/>
      <c r="D230" s="2"/>
      <c r="E230" s="190" t="s">
        <v>53</v>
      </c>
      <c r="F230" s="1" t="s">
        <v>249</v>
      </c>
      <c r="R230" s="191" t="s">
        <v>6</v>
      </c>
      <c r="S230" s="584">
        <v>1000000</v>
      </c>
      <c r="T230" s="584"/>
      <c r="U230" s="584"/>
      <c r="V230" s="584"/>
      <c r="W230" s="584"/>
      <c r="X230" s="584"/>
    </row>
    <row r="231" spans="3:24" ht="16.5" customHeight="1">
      <c r="C231" s="2"/>
      <c r="D231" s="2"/>
      <c r="E231" s="571" t="s">
        <v>50</v>
      </c>
      <c r="F231" s="571"/>
      <c r="G231" s="571"/>
      <c r="H231" s="571"/>
      <c r="I231" s="571"/>
      <c r="J231" s="571"/>
      <c r="K231" s="571"/>
      <c r="L231" s="571"/>
      <c r="M231" s="571"/>
      <c r="N231" s="571"/>
      <c r="O231" s="571"/>
      <c r="P231" s="571"/>
      <c r="Q231" s="571"/>
      <c r="R231" s="2" t="s">
        <v>6</v>
      </c>
      <c r="S231" s="648">
        <f>SUM(S182:X230)</f>
        <v>35637551</v>
      </c>
      <c r="T231" s="648"/>
      <c r="U231" s="648"/>
      <c r="V231" s="648"/>
      <c r="W231" s="648"/>
      <c r="X231" s="648"/>
    </row>
    <row r="232" spans="3:24" ht="16.5" customHeight="1">
      <c r="C232" s="2"/>
      <c r="D232" s="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2"/>
      <c r="S232" s="17"/>
      <c r="T232" s="17"/>
      <c r="U232" s="17"/>
      <c r="V232" s="17"/>
      <c r="W232" s="17"/>
      <c r="X232" s="17"/>
    </row>
    <row r="233" spans="3:24" ht="16.5" customHeight="1">
      <c r="C233" s="2" t="s">
        <v>74</v>
      </c>
      <c r="D233" s="1" t="s">
        <v>538</v>
      </c>
    </row>
    <row r="234" spans="3:24" ht="16.5" customHeight="1">
      <c r="C234" s="2"/>
      <c r="D234" s="1" t="s">
        <v>90</v>
      </c>
      <c r="E234" s="1" t="s">
        <v>518</v>
      </c>
    </row>
    <row r="235" spans="3:24" ht="16.5" customHeight="1">
      <c r="C235" s="2"/>
      <c r="E235" s="32" t="s">
        <v>53</v>
      </c>
      <c r="F235" s="1" t="s">
        <v>530</v>
      </c>
      <c r="R235" s="2" t="s">
        <v>6</v>
      </c>
      <c r="S235" s="565">
        <v>60285000</v>
      </c>
      <c r="T235" s="565"/>
      <c r="U235" s="565"/>
      <c r="V235" s="565"/>
      <c r="W235" s="565"/>
      <c r="X235" s="565"/>
    </row>
    <row r="236" spans="3:24" ht="16.5" customHeight="1">
      <c r="C236" s="2"/>
      <c r="D236" s="1" t="s">
        <v>91</v>
      </c>
      <c r="E236" s="1" t="s">
        <v>112</v>
      </c>
    </row>
    <row r="237" spans="3:24" ht="16.5" customHeight="1">
      <c r="C237" s="2"/>
      <c r="E237" s="32" t="s">
        <v>53</v>
      </c>
      <c r="F237" s="1" t="s">
        <v>532</v>
      </c>
      <c r="R237" s="2" t="s">
        <v>6</v>
      </c>
      <c r="S237" s="565">
        <v>600000</v>
      </c>
      <c r="T237" s="565"/>
      <c r="U237" s="565"/>
      <c r="V237" s="565"/>
      <c r="W237" s="565"/>
      <c r="X237" s="565"/>
    </row>
    <row r="238" spans="3:24" ht="16.5" customHeight="1">
      <c r="C238" s="2"/>
      <c r="E238" s="32" t="s">
        <v>53</v>
      </c>
      <c r="F238" s="1" t="s">
        <v>531</v>
      </c>
      <c r="R238" s="2" t="s">
        <v>6</v>
      </c>
      <c r="S238" s="565">
        <v>18009759</v>
      </c>
      <c r="T238" s="565"/>
      <c r="U238" s="565"/>
      <c r="V238" s="565"/>
      <c r="W238" s="565"/>
      <c r="X238" s="565"/>
    </row>
    <row r="239" spans="3:24" ht="16.5" customHeight="1">
      <c r="C239" s="2"/>
      <c r="E239" s="571" t="s">
        <v>50</v>
      </c>
      <c r="F239" s="571"/>
      <c r="G239" s="571"/>
      <c r="H239" s="571"/>
      <c r="I239" s="571"/>
      <c r="J239" s="571"/>
      <c r="K239" s="571"/>
      <c r="L239" s="571"/>
      <c r="M239" s="571"/>
      <c r="N239" s="571"/>
      <c r="O239" s="571"/>
      <c r="P239" s="571"/>
      <c r="Q239" s="571"/>
      <c r="R239" s="193" t="s">
        <v>6</v>
      </c>
      <c r="S239" s="572">
        <f>SUM(S235:X238)</f>
        <v>78894759</v>
      </c>
      <c r="T239" s="572"/>
      <c r="U239" s="572"/>
      <c r="V239" s="572"/>
      <c r="W239" s="572"/>
      <c r="X239" s="572"/>
    </row>
    <row r="240" spans="3:24" ht="16.5" customHeight="1">
      <c r="C240" s="2"/>
      <c r="E240" s="32"/>
      <c r="R240" s="2"/>
      <c r="S240" s="28"/>
      <c r="T240" s="28"/>
      <c r="U240" s="28"/>
      <c r="V240" s="28"/>
      <c r="W240" s="28"/>
      <c r="X240" s="28"/>
    </row>
    <row r="241" spans="2:26" ht="16.5" customHeight="1">
      <c r="C241" s="2"/>
      <c r="D241" s="573" t="s">
        <v>151</v>
      </c>
      <c r="E241" s="573"/>
      <c r="F241" s="573"/>
      <c r="G241" s="573"/>
      <c r="H241" s="573"/>
      <c r="I241" s="573"/>
      <c r="J241" s="573"/>
      <c r="K241" s="573"/>
      <c r="L241" s="573"/>
      <c r="M241" s="573"/>
      <c r="N241" s="573"/>
      <c r="O241" s="573"/>
      <c r="P241" s="573"/>
      <c r="Q241" s="573"/>
      <c r="R241" s="25" t="s">
        <v>6</v>
      </c>
      <c r="S241" s="574">
        <f>S179+S231+S239</f>
        <v>121234832</v>
      </c>
      <c r="T241" s="574"/>
      <c r="U241" s="574"/>
      <c r="V241" s="574"/>
      <c r="W241" s="574"/>
      <c r="X241" s="574"/>
    </row>
    <row r="242" spans="2:26" ht="16.5" customHeight="1"/>
    <row r="243" spans="2:26" ht="16.5" customHeight="1">
      <c r="B243" s="1" t="s">
        <v>118</v>
      </c>
      <c r="C243" s="1" t="s">
        <v>114</v>
      </c>
    </row>
    <row r="244" spans="2:26" ht="16.5" customHeight="1">
      <c r="C244" s="1" t="s">
        <v>115</v>
      </c>
    </row>
    <row r="245" spans="2:26" ht="6" customHeight="1"/>
    <row r="246" spans="2:26" s="16" customFormat="1" ht="20.25" customHeight="1">
      <c r="C246" s="568" t="s">
        <v>42</v>
      </c>
      <c r="D246" s="568"/>
      <c r="E246" s="568"/>
      <c r="F246" s="568"/>
      <c r="G246" s="568"/>
      <c r="H246" s="568" t="s">
        <v>43</v>
      </c>
      <c r="I246" s="568"/>
      <c r="J246" s="568"/>
      <c r="K246" s="568"/>
      <c r="L246" s="568"/>
      <c r="M246" s="568" t="s">
        <v>44</v>
      </c>
      <c r="N246" s="568"/>
      <c r="O246" s="568"/>
      <c r="P246" s="568"/>
      <c r="Q246" s="568"/>
      <c r="R246" s="568" t="s">
        <v>55</v>
      </c>
      <c r="S246" s="568"/>
      <c r="T246" s="568"/>
      <c r="U246" s="568"/>
      <c r="V246" s="568"/>
      <c r="W246" s="568"/>
      <c r="X246" s="568"/>
    </row>
    <row r="247" spans="2:26" s="16" customFormat="1" ht="16.5" customHeight="1">
      <c r="C247" s="566" t="s">
        <v>97</v>
      </c>
      <c r="D247" s="566"/>
      <c r="E247" s="566"/>
      <c r="F247" s="566"/>
      <c r="G247" s="566"/>
      <c r="H247" s="567">
        <v>0</v>
      </c>
      <c r="I247" s="567"/>
      <c r="J247" s="567"/>
      <c r="K247" s="567"/>
      <c r="L247" s="567"/>
      <c r="M247" s="567">
        <v>0</v>
      </c>
      <c r="N247" s="567"/>
      <c r="O247" s="567"/>
      <c r="P247" s="567"/>
      <c r="Q247" s="567"/>
      <c r="R247" s="567">
        <f>H247-M247</f>
        <v>0</v>
      </c>
      <c r="S247" s="566"/>
      <c r="T247" s="566"/>
      <c r="U247" s="566"/>
      <c r="V247" s="566"/>
      <c r="W247" s="566"/>
      <c r="X247" s="566"/>
    </row>
    <row r="248" spans="2:26" s="16" customFormat="1" ht="16.5" customHeight="1">
      <c r="C248" s="566" t="s">
        <v>98</v>
      </c>
      <c r="D248" s="566"/>
      <c r="E248" s="566"/>
      <c r="F248" s="566"/>
      <c r="G248" s="566"/>
      <c r="H248" s="567">
        <v>332285000</v>
      </c>
      <c r="I248" s="567"/>
      <c r="J248" s="567"/>
      <c r="K248" s="567"/>
      <c r="L248" s="567"/>
      <c r="M248" s="567">
        <v>314527500</v>
      </c>
      <c r="N248" s="567"/>
      <c r="O248" s="567"/>
      <c r="P248" s="567"/>
      <c r="Q248" s="567"/>
      <c r="R248" s="567">
        <f t="shared" ref="R248:R251" si="4">H248-M248</f>
        <v>17757500</v>
      </c>
      <c r="S248" s="566"/>
      <c r="T248" s="566"/>
      <c r="U248" s="566"/>
      <c r="V248" s="566"/>
      <c r="W248" s="566"/>
      <c r="X248" s="566"/>
      <c r="Z248" s="31"/>
    </row>
    <row r="249" spans="2:26" s="16" customFormat="1" ht="16.5" customHeight="1">
      <c r="C249" s="566" t="s">
        <v>99</v>
      </c>
      <c r="D249" s="566"/>
      <c r="E249" s="566"/>
      <c r="F249" s="566"/>
      <c r="G249" s="566"/>
      <c r="H249" s="567">
        <v>783626000</v>
      </c>
      <c r="I249" s="567"/>
      <c r="J249" s="567"/>
      <c r="K249" s="567"/>
      <c r="L249" s="567"/>
      <c r="M249" s="567">
        <v>771152500</v>
      </c>
      <c r="N249" s="567"/>
      <c r="O249" s="567"/>
      <c r="P249" s="567"/>
      <c r="Q249" s="567"/>
      <c r="R249" s="567">
        <f t="shared" si="4"/>
        <v>12473500</v>
      </c>
      <c r="S249" s="566"/>
      <c r="T249" s="566"/>
      <c r="U249" s="566"/>
      <c r="V249" s="566"/>
      <c r="W249" s="566"/>
      <c r="X249" s="566"/>
    </row>
    <row r="250" spans="2:26" s="16" customFormat="1" ht="16.5" customHeight="1">
      <c r="C250" s="566" t="s">
        <v>101</v>
      </c>
      <c r="D250" s="566"/>
      <c r="E250" s="566"/>
      <c r="F250" s="566"/>
      <c r="G250" s="566"/>
      <c r="H250" s="567">
        <v>0</v>
      </c>
      <c r="I250" s="567"/>
      <c r="J250" s="567"/>
      <c r="K250" s="567"/>
      <c r="L250" s="567"/>
      <c r="M250" s="567">
        <v>0</v>
      </c>
      <c r="N250" s="567"/>
      <c r="O250" s="567"/>
      <c r="P250" s="567"/>
      <c r="Q250" s="567"/>
      <c r="R250" s="567">
        <f t="shared" si="4"/>
        <v>0</v>
      </c>
      <c r="S250" s="566"/>
      <c r="T250" s="566"/>
      <c r="U250" s="566"/>
      <c r="V250" s="566"/>
      <c r="W250" s="566"/>
      <c r="X250" s="566"/>
    </row>
    <row r="251" spans="2:26" s="16" customFormat="1" ht="16.5" customHeight="1">
      <c r="C251" s="566" t="s">
        <v>100</v>
      </c>
      <c r="D251" s="566"/>
      <c r="E251" s="566"/>
      <c r="F251" s="566"/>
      <c r="G251" s="566"/>
      <c r="H251" s="567">
        <f>H247+H248+H249+H250</f>
        <v>1115911000</v>
      </c>
      <c r="I251" s="567">
        <v>138999500</v>
      </c>
      <c r="J251" s="567">
        <v>138999500</v>
      </c>
      <c r="K251" s="567">
        <v>138999500</v>
      </c>
      <c r="L251" s="567">
        <v>138999500</v>
      </c>
      <c r="M251" s="567">
        <f>M247+M248+M249+M250</f>
        <v>1085680000</v>
      </c>
      <c r="N251" s="567">
        <v>138999500</v>
      </c>
      <c r="O251" s="567">
        <v>138999500</v>
      </c>
      <c r="P251" s="567">
        <v>138999500</v>
      </c>
      <c r="Q251" s="567">
        <v>138999500</v>
      </c>
      <c r="R251" s="567">
        <f t="shared" si="4"/>
        <v>30231000</v>
      </c>
      <c r="S251" s="566"/>
      <c r="T251" s="566"/>
      <c r="U251" s="566"/>
      <c r="V251" s="566"/>
      <c r="W251" s="566"/>
      <c r="X251" s="566"/>
    </row>
    <row r="252" spans="2:26" ht="6" customHeight="1"/>
    <row r="253" spans="2:26" ht="16.5" customHeight="1">
      <c r="B253" s="2" t="s">
        <v>51</v>
      </c>
      <c r="C253" s="1" t="s">
        <v>535</v>
      </c>
    </row>
    <row r="254" spans="2:26" ht="16.5" customHeight="1">
      <c r="C254" s="2" t="s">
        <v>90</v>
      </c>
      <c r="D254" s="1" t="s">
        <v>218</v>
      </c>
      <c r="R254" s="2"/>
      <c r="S254" s="565"/>
      <c r="T254" s="565"/>
      <c r="U254" s="565"/>
      <c r="V254" s="565"/>
      <c r="W254" s="565"/>
      <c r="X254" s="565"/>
    </row>
    <row r="255" spans="2:26" ht="16.5" customHeight="1">
      <c r="C255" s="2"/>
      <c r="D255" s="190" t="s">
        <v>53</v>
      </c>
      <c r="E255" s="1" t="s">
        <v>258</v>
      </c>
      <c r="R255" s="2" t="s">
        <v>6</v>
      </c>
      <c r="S255" s="565">
        <v>2120000</v>
      </c>
      <c r="T255" s="565"/>
      <c r="U255" s="565"/>
      <c r="V255" s="565"/>
      <c r="W255" s="565"/>
      <c r="X255" s="565"/>
    </row>
    <row r="256" spans="2:26" ht="16.5" customHeight="1">
      <c r="C256" s="2"/>
      <c r="D256" s="190" t="s">
        <v>53</v>
      </c>
      <c r="E256" s="1" t="s">
        <v>533</v>
      </c>
      <c r="R256" s="2" t="s">
        <v>6</v>
      </c>
      <c r="S256" s="565">
        <v>1440000</v>
      </c>
      <c r="T256" s="565"/>
      <c r="U256" s="565"/>
      <c r="V256" s="565"/>
      <c r="W256" s="565"/>
      <c r="X256" s="565"/>
    </row>
    <row r="257" spans="3:24" ht="16.5" customHeight="1">
      <c r="C257" s="2" t="s">
        <v>91</v>
      </c>
      <c r="D257" s="190" t="s">
        <v>529</v>
      </c>
      <c r="R257" s="2"/>
      <c r="S257" s="28"/>
      <c r="T257" s="28"/>
      <c r="U257" s="28"/>
      <c r="V257" s="28"/>
      <c r="W257" s="28"/>
      <c r="X257" s="28"/>
    </row>
    <row r="258" spans="3:24" ht="16.5" customHeight="1">
      <c r="C258" s="2"/>
      <c r="D258" s="190" t="s">
        <v>53</v>
      </c>
      <c r="E258" s="1" t="s">
        <v>251</v>
      </c>
      <c r="Q258" s="2"/>
      <c r="R258" s="2" t="s">
        <v>6</v>
      </c>
      <c r="S258" s="565">
        <v>300000</v>
      </c>
      <c r="T258" s="565"/>
      <c r="U258" s="565"/>
      <c r="V258" s="565"/>
      <c r="W258" s="565"/>
      <c r="X258" s="565"/>
    </row>
    <row r="259" spans="3:24" ht="16.5" customHeight="1">
      <c r="C259" s="2"/>
      <c r="D259" s="190" t="s">
        <v>53</v>
      </c>
      <c r="E259" s="1" t="s">
        <v>527</v>
      </c>
      <c r="Q259" s="2"/>
      <c r="R259" s="2" t="s">
        <v>6</v>
      </c>
      <c r="S259" s="565">
        <v>350000</v>
      </c>
      <c r="T259" s="565"/>
      <c r="U259" s="565"/>
      <c r="V259" s="565"/>
      <c r="W259" s="565"/>
      <c r="X259" s="565"/>
    </row>
    <row r="260" spans="3:24" ht="16.5" customHeight="1">
      <c r="C260" s="2"/>
      <c r="D260" s="190" t="s">
        <v>53</v>
      </c>
      <c r="E260" s="1" t="s">
        <v>512</v>
      </c>
      <c r="R260" s="2" t="s">
        <v>6</v>
      </c>
      <c r="S260" s="565">
        <v>250000</v>
      </c>
      <c r="T260" s="565"/>
      <c r="U260" s="565"/>
      <c r="V260" s="565"/>
      <c r="W260" s="565"/>
      <c r="X260" s="565"/>
    </row>
    <row r="261" spans="3:24" ht="16.5" customHeight="1">
      <c r="C261" s="2" t="s">
        <v>92</v>
      </c>
      <c r="D261" s="1" t="s">
        <v>534</v>
      </c>
      <c r="R261" s="2"/>
      <c r="S261" s="565"/>
      <c r="T261" s="565"/>
      <c r="U261" s="565"/>
      <c r="V261" s="565"/>
      <c r="W261" s="565"/>
      <c r="X261" s="565"/>
    </row>
    <row r="262" spans="3:24" ht="16.5" customHeight="1">
      <c r="C262" s="2"/>
      <c r="D262" s="32" t="s">
        <v>53</v>
      </c>
      <c r="E262" s="1" t="s">
        <v>527</v>
      </c>
      <c r="Q262" s="2"/>
      <c r="R262" s="2" t="s">
        <v>6</v>
      </c>
      <c r="S262" s="565">
        <v>200000</v>
      </c>
      <c r="T262" s="565"/>
      <c r="U262" s="565"/>
      <c r="V262" s="565"/>
      <c r="W262" s="565"/>
      <c r="X262" s="565"/>
    </row>
    <row r="263" spans="3:24" ht="16.5" customHeight="1">
      <c r="C263" s="2"/>
      <c r="D263" s="190" t="s">
        <v>53</v>
      </c>
      <c r="E263" s="1" t="s">
        <v>255</v>
      </c>
      <c r="R263" s="2" t="s">
        <v>6</v>
      </c>
      <c r="S263" s="565">
        <v>4575000</v>
      </c>
      <c r="T263" s="565"/>
      <c r="U263" s="565"/>
      <c r="V263" s="565"/>
      <c r="W263" s="565"/>
      <c r="X263" s="565"/>
    </row>
    <row r="264" spans="3:24" ht="16.5" customHeight="1">
      <c r="D264" s="1" t="s">
        <v>219</v>
      </c>
      <c r="R264" s="2"/>
      <c r="S264" s="565"/>
      <c r="T264" s="565"/>
      <c r="U264" s="565"/>
      <c r="V264" s="565"/>
      <c r="W264" s="565"/>
      <c r="X264" s="565"/>
    </row>
    <row r="265" spans="3:24" ht="16.5" customHeight="1">
      <c r="C265" s="2"/>
      <c r="D265" s="190" t="s">
        <v>53</v>
      </c>
      <c r="E265" s="1" t="s">
        <v>251</v>
      </c>
      <c r="R265" s="2" t="s">
        <v>6</v>
      </c>
      <c r="S265" s="565">
        <v>100000</v>
      </c>
      <c r="T265" s="565"/>
      <c r="U265" s="565"/>
      <c r="V265" s="565"/>
      <c r="W265" s="565"/>
      <c r="X265" s="565"/>
    </row>
    <row r="266" spans="3:24" ht="16.5" customHeight="1">
      <c r="C266" s="2"/>
      <c r="D266" s="190" t="s">
        <v>53</v>
      </c>
      <c r="E266" s="1" t="s">
        <v>252</v>
      </c>
      <c r="R266" s="2" t="s">
        <v>6</v>
      </c>
      <c r="S266" s="565">
        <v>1680000</v>
      </c>
      <c r="T266" s="565"/>
      <c r="U266" s="565"/>
      <c r="V266" s="565"/>
      <c r="W266" s="565"/>
      <c r="X266" s="565"/>
    </row>
    <row r="267" spans="3:24" ht="16.5" customHeight="1">
      <c r="C267" s="2" t="s">
        <v>102</v>
      </c>
      <c r="D267" s="1" t="s">
        <v>220</v>
      </c>
      <c r="R267" s="2"/>
      <c r="S267" s="565"/>
      <c r="T267" s="565"/>
      <c r="U267" s="565"/>
      <c r="V267" s="565"/>
      <c r="W267" s="565"/>
      <c r="X267" s="565"/>
    </row>
    <row r="268" spans="3:24" ht="16.5" customHeight="1">
      <c r="C268" s="2"/>
      <c r="D268" s="190" t="s">
        <v>53</v>
      </c>
      <c r="E268" s="1" t="s">
        <v>252</v>
      </c>
      <c r="R268" s="2" t="s">
        <v>6</v>
      </c>
      <c r="S268" s="565">
        <v>6592500</v>
      </c>
      <c r="T268" s="565"/>
      <c r="U268" s="565"/>
      <c r="V268" s="565"/>
      <c r="W268" s="565"/>
      <c r="X268" s="565"/>
    </row>
    <row r="269" spans="3:24" ht="16.5" customHeight="1">
      <c r="C269" s="2" t="s">
        <v>105</v>
      </c>
      <c r="D269" s="190" t="s">
        <v>536</v>
      </c>
      <c r="R269" s="2"/>
      <c r="S269" s="28"/>
      <c r="T269" s="28"/>
      <c r="U269" s="28"/>
      <c r="V269" s="28"/>
      <c r="W269" s="28"/>
      <c r="X269" s="28"/>
    </row>
    <row r="270" spans="3:24" ht="16.5" customHeight="1">
      <c r="C270" s="2"/>
      <c r="D270" s="190" t="s">
        <v>53</v>
      </c>
      <c r="E270" s="1" t="s">
        <v>258</v>
      </c>
      <c r="R270" s="193" t="s">
        <v>6</v>
      </c>
      <c r="S270" s="583">
        <v>150000</v>
      </c>
      <c r="T270" s="583"/>
      <c r="U270" s="583"/>
      <c r="V270" s="583"/>
      <c r="W270" s="583"/>
      <c r="X270" s="583"/>
    </row>
    <row r="271" spans="3:24" ht="16.5" customHeight="1">
      <c r="C271" s="2"/>
      <c r="D271" s="12" t="s">
        <v>50</v>
      </c>
      <c r="R271" s="193" t="s">
        <v>6</v>
      </c>
      <c r="S271" s="565">
        <f>SUM(S255:X270)</f>
        <v>17757500</v>
      </c>
      <c r="T271" s="565"/>
      <c r="U271" s="565"/>
      <c r="V271" s="565"/>
      <c r="W271" s="565"/>
      <c r="X271" s="565"/>
    </row>
    <row r="272" spans="3:24" ht="16.5" customHeight="1">
      <c r="C272" s="2"/>
      <c r="D272" s="12"/>
      <c r="R272" s="193"/>
      <c r="S272" s="28"/>
      <c r="T272" s="28"/>
      <c r="U272" s="28"/>
      <c r="V272" s="28"/>
      <c r="W272" s="28"/>
      <c r="X272" s="28"/>
    </row>
    <row r="273" spans="2:24" ht="16.5" customHeight="1">
      <c r="B273" s="2" t="s">
        <v>52</v>
      </c>
      <c r="C273" s="1" t="s">
        <v>539</v>
      </c>
      <c r="R273" s="2"/>
      <c r="S273" s="565"/>
      <c r="T273" s="565"/>
      <c r="U273" s="565"/>
      <c r="V273" s="565"/>
      <c r="W273" s="565"/>
      <c r="X273" s="565"/>
    </row>
    <row r="274" spans="2:24" ht="16.5" customHeight="1">
      <c r="C274" s="2" t="s">
        <v>90</v>
      </c>
      <c r="D274" s="190" t="s">
        <v>540</v>
      </c>
      <c r="R274" s="2"/>
      <c r="S274" s="565"/>
      <c r="T274" s="565"/>
      <c r="U274" s="565"/>
      <c r="V274" s="565"/>
      <c r="W274" s="565"/>
      <c r="X274" s="565"/>
    </row>
    <row r="275" spans="2:24" ht="16.5" customHeight="1">
      <c r="C275" s="2"/>
      <c r="D275" s="15" t="s">
        <v>53</v>
      </c>
      <c r="E275" s="1" t="s">
        <v>541</v>
      </c>
      <c r="R275" s="2" t="s">
        <v>6</v>
      </c>
      <c r="S275" s="565">
        <v>149000</v>
      </c>
      <c r="T275" s="565"/>
      <c r="U275" s="565"/>
      <c r="V275" s="565"/>
      <c r="W275" s="565"/>
      <c r="X275" s="565"/>
    </row>
    <row r="276" spans="2:24" ht="16.5" customHeight="1">
      <c r="C276" s="2"/>
      <c r="D276" s="15" t="s">
        <v>53</v>
      </c>
      <c r="E276" s="1" t="s">
        <v>542</v>
      </c>
      <c r="R276" s="2" t="s">
        <v>6</v>
      </c>
      <c r="S276" s="565">
        <v>365000</v>
      </c>
      <c r="T276" s="565"/>
      <c r="U276" s="565"/>
      <c r="V276" s="565"/>
      <c r="W276" s="565"/>
      <c r="X276" s="565"/>
    </row>
    <row r="277" spans="2:24" ht="16.5" customHeight="1">
      <c r="C277" s="2"/>
      <c r="D277" s="15" t="s">
        <v>53</v>
      </c>
      <c r="E277" s="1" t="s">
        <v>543</v>
      </c>
      <c r="R277" s="2" t="s">
        <v>6</v>
      </c>
      <c r="S277" s="565">
        <v>8739500</v>
      </c>
      <c r="T277" s="565"/>
      <c r="U277" s="565"/>
      <c r="V277" s="565"/>
      <c r="W277" s="565"/>
      <c r="X277" s="565"/>
    </row>
    <row r="278" spans="2:24" ht="16.5" customHeight="1">
      <c r="C278" s="2" t="s">
        <v>91</v>
      </c>
      <c r="D278" s="190" t="s">
        <v>544</v>
      </c>
      <c r="R278" s="2"/>
      <c r="S278" s="565"/>
      <c r="T278" s="565"/>
      <c r="U278" s="565"/>
      <c r="V278" s="565"/>
      <c r="W278" s="565"/>
      <c r="X278" s="565"/>
    </row>
    <row r="279" spans="2:24" ht="16.5" customHeight="1">
      <c r="C279" s="2"/>
      <c r="D279" s="15" t="s">
        <v>53</v>
      </c>
      <c r="E279" s="1" t="s">
        <v>542</v>
      </c>
      <c r="R279" s="2" t="s">
        <v>6</v>
      </c>
      <c r="S279" s="565">
        <v>1870000</v>
      </c>
      <c r="T279" s="565"/>
      <c r="U279" s="565"/>
      <c r="V279" s="565"/>
      <c r="W279" s="565"/>
      <c r="X279" s="565"/>
    </row>
    <row r="280" spans="2:24" ht="16.5" customHeight="1">
      <c r="C280" s="2"/>
      <c r="D280" s="15" t="s">
        <v>53</v>
      </c>
      <c r="E280" s="1" t="s">
        <v>545</v>
      </c>
      <c r="R280" s="2" t="s">
        <v>6</v>
      </c>
      <c r="S280" s="565">
        <v>1000000</v>
      </c>
      <c r="T280" s="565"/>
      <c r="U280" s="565"/>
      <c r="V280" s="565"/>
      <c r="W280" s="565"/>
      <c r="X280" s="565"/>
    </row>
    <row r="281" spans="2:24" ht="16.5" customHeight="1">
      <c r="C281" s="2"/>
      <c r="D281" s="15" t="s">
        <v>53</v>
      </c>
      <c r="E281" s="1" t="s">
        <v>546</v>
      </c>
      <c r="R281" s="2" t="s">
        <v>6</v>
      </c>
      <c r="S281" s="565">
        <v>200000</v>
      </c>
      <c r="T281" s="565"/>
      <c r="U281" s="565"/>
      <c r="V281" s="565"/>
      <c r="W281" s="565"/>
      <c r="X281" s="565"/>
    </row>
    <row r="282" spans="2:24" ht="16.5" customHeight="1">
      <c r="C282" s="2" t="s">
        <v>92</v>
      </c>
      <c r="D282" s="190" t="s">
        <v>547</v>
      </c>
    </row>
    <row r="283" spans="2:24" ht="16.5" customHeight="1">
      <c r="C283" s="2"/>
      <c r="D283" s="15" t="s">
        <v>53</v>
      </c>
      <c r="E283" s="1" t="s">
        <v>542</v>
      </c>
      <c r="R283" s="191" t="s">
        <v>6</v>
      </c>
      <c r="S283" s="584">
        <v>150000</v>
      </c>
      <c r="T283" s="584"/>
      <c r="U283" s="584"/>
      <c r="V283" s="584"/>
      <c r="W283" s="584"/>
      <c r="X283" s="584"/>
    </row>
    <row r="284" spans="2:24" ht="16.5" customHeight="1">
      <c r="C284" s="2"/>
      <c r="D284" s="12" t="s">
        <v>50</v>
      </c>
      <c r="R284" s="193" t="s">
        <v>6</v>
      </c>
      <c r="S284" s="565">
        <f>SUM(S275:X283)</f>
        <v>12473500</v>
      </c>
      <c r="T284" s="565"/>
      <c r="U284" s="565"/>
      <c r="V284" s="565"/>
      <c r="W284" s="565"/>
      <c r="X284" s="565"/>
    </row>
    <row r="285" spans="2:24" ht="16.5" customHeight="1">
      <c r="R285" s="2"/>
      <c r="S285" s="565"/>
      <c r="T285" s="565"/>
      <c r="U285" s="565"/>
      <c r="V285" s="565"/>
      <c r="W285" s="565"/>
      <c r="X285" s="565"/>
    </row>
    <row r="286" spans="2:24" ht="16.5" customHeight="1">
      <c r="C286" s="573" t="s">
        <v>221</v>
      </c>
      <c r="D286" s="573"/>
      <c r="E286" s="573"/>
      <c r="F286" s="573"/>
      <c r="G286" s="573"/>
      <c r="H286" s="573"/>
      <c r="I286" s="573"/>
      <c r="J286" s="573"/>
      <c r="K286" s="573"/>
      <c r="L286" s="573"/>
      <c r="M286" s="573"/>
      <c r="N286" s="573"/>
      <c r="O286" s="573"/>
      <c r="P286" s="573"/>
      <c r="Q286" s="573"/>
      <c r="R286" s="25" t="s">
        <v>6</v>
      </c>
      <c r="S286" s="574">
        <f>SUM(S271,S284)</f>
        <v>30231000</v>
      </c>
      <c r="T286" s="574"/>
      <c r="U286" s="574"/>
      <c r="V286" s="574"/>
      <c r="W286" s="574"/>
      <c r="X286" s="574"/>
    </row>
    <row r="287" spans="2:24" ht="16.5" customHeight="1"/>
    <row r="288" spans="2:24" ht="16.5" customHeight="1">
      <c r="B288" s="1" t="s">
        <v>119</v>
      </c>
      <c r="C288" s="1" t="s">
        <v>116</v>
      </c>
    </row>
    <row r="289" spans="3:24" ht="16.5" customHeight="1">
      <c r="C289" s="1" t="s">
        <v>117</v>
      </c>
    </row>
    <row r="290" spans="3:24" ht="6" customHeight="1"/>
    <row r="291" spans="3:24" s="16" customFormat="1" ht="20.25" customHeight="1">
      <c r="C291" s="568" t="s">
        <v>42</v>
      </c>
      <c r="D291" s="568"/>
      <c r="E291" s="568"/>
      <c r="F291" s="568"/>
      <c r="G291" s="568"/>
      <c r="H291" s="568" t="s">
        <v>43</v>
      </c>
      <c r="I291" s="568"/>
      <c r="J291" s="568"/>
      <c r="K291" s="568"/>
      <c r="L291" s="568"/>
      <c r="M291" s="568" t="s">
        <v>44</v>
      </c>
      <c r="N291" s="568"/>
      <c r="O291" s="568"/>
      <c r="P291" s="568"/>
      <c r="Q291" s="568"/>
      <c r="R291" s="568" t="s">
        <v>55</v>
      </c>
      <c r="S291" s="568"/>
      <c r="T291" s="568"/>
      <c r="U291" s="568"/>
      <c r="V291" s="568"/>
      <c r="W291" s="568"/>
      <c r="X291" s="568"/>
    </row>
    <row r="292" spans="3:24" s="16" customFormat="1" ht="16.5" customHeight="1">
      <c r="C292" s="566" t="s">
        <v>97</v>
      </c>
      <c r="D292" s="566"/>
      <c r="E292" s="566"/>
      <c r="F292" s="566"/>
      <c r="G292" s="566"/>
      <c r="H292" s="567">
        <v>0</v>
      </c>
      <c r="I292" s="567"/>
      <c r="J292" s="567"/>
      <c r="K292" s="567"/>
      <c r="L292" s="567"/>
      <c r="M292" s="567">
        <v>0</v>
      </c>
      <c r="N292" s="567"/>
      <c r="O292" s="567"/>
      <c r="P292" s="567"/>
      <c r="Q292" s="567"/>
      <c r="R292" s="567">
        <f>H292-M292</f>
        <v>0</v>
      </c>
      <c r="S292" s="566"/>
      <c r="T292" s="566"/>
      <c r="U292" s="566"/>
      <c r="V292" s="566"/>
      <c r="W292" s="566"/>
      <c r="X292" s="566"/>
    </row>
    <row r="293" spans="3:24" s="16" customFormat="1" ht="16.5" customHeight="1">
      <c r="C293" s="566" t="s">
        <v>98</v>
      </c>
      <c r="D293" s="566"/>
      <c r="E293" s="566"/>
      <c r="F293" s="566"/>
      <c r="G293" s="566"/>
      <c r="H293" s="567">
        <v>80605000</v>
      </c>
      <c r="I293" s="567"/>
      <c r="J293" s="567"/>
      <c r="K293" s="567"/>
      <c r="L293" s="567"/>
      <c r="M293" s="567">
        <v>70415000</v>
      </c>
      <c r="N293" s="567"/>
      <c r="O293" s="567"/>
      <c r="P293" s="567"/>
      <c r="Q293" s="567"/>
      <c r="R293" s="567">
        <f t="shared" ref="R293:R296" si="5">H293-M293</f>
        <v>10190000</v>
      </c>
      <c r="S293" s="566"/>
      <c r="T293" s="566"/>
      <c r="U293" s="566"/>
      <c r="V293" s="566"/>
      <c r="W293" s="566"/>
      <c r="X293" s="566"/>
    </row>
    <row r="294" spans="3:24" s="16" customFormat="1" ht="16.5" customHeight="1">
      <c r="C294" s="566" t="s">
        <v>99</v>
      </c>
      <c r="D294" s="566"/>
      <c r="E294" s="566"/>
      <c r="F294" s="566"/>
      <c r="G294" s="566"/>
      <c r="H294" s="567">
        <v>0</v>
      </c>
      <c r="I294" s="567"/>
      <c r="J294" s="567"/>
      <c r="K294" s="567"/>
      <c r="L294" s="567"/>
      <c r="M294" s="567">
        <v>0</v>
      </c>
      <c r="N294" s="567"/>
      <c r="O294" s="567"/>
      <c r="P294" s="567"/>
      <c r="Q294" s="567"/>
      <c r="R294" s="567">
        <f t="shared" si="5"/>
        <v>0</v>
      </c>
      <c r="S294" s="566"/>
      <c r="T294" s="566"/>
      <c r="U294" s="566"/>
      <c r="V294" s="566"/>
      <c r="W294" s="566"/>
      <c r="X294" s="566"/>
    </row>
    <row r="295" spans="3:24" s="16" customFormat="1" ht="16.5" customHeight="1">
      <c r="C295" s="566" t="s">
        <v>101</v>
      </c>
      <c r="D295" s="566"/>
      <c r="E295" s="566"/>
      <c r="F295" s="566"/>
      <c r="G295" s="566"/>
      <c r="H295" s="567">
        <v>0</v>
      </c>
      <c r="I295" s="567"/>
      <c r="J295" s="567"/>
      <c r="K295" s="567"/>
      <c r="L295" s="567"/>
      <c r="M295" s="567">
        <v>0</v>
      </c>
      <c r="N295" s="567"/>
      <c r="O295" s="567"/>
      <c r="P295" s="567"/>
      <c r="Q295" s="567"/>
      <c r="R295" s="567">
        <f t="shared" si="5"/>
        <v>0</v>
      </c>
      <c r="S295" s="566"/>
      <c r="T295" s="566"/>
      <c r="U295" s="566"/>
      <c r="V295" s="566"/>
      <c r="W295" s="566"/>
      <c r="X295" s="566"/>
    </row>
    <row r="296" spans="3:24" s="16" customFormat="1" ht="16.5" customHeight="1">
      <c r="C296" s="566" t="s">
        <v>100</v>
      </c>
      <c r="D296" s="566"/>
      <c r="E296" s="566"/>
      <c r="F296" s="566"/>
      <c r="G296" s="566"/>
      <c r="H296" s="567">
        <f>H292+H293+H294+H295</f>
        <v>80605000</v>
      </c>
      <c r="I296" s="567">
        <v>138999500</v>
      </c>
      <c r="J296" s="567">
        <v>138999500</v>
      </c>
      <c r="K296" s="567">
        <v>138999500</v>
      </c>
      <c r="L296" s="567">
        <v>138999500</v>
      </c>
      <c r="M296" s="567">
        <f>M292+M293+M294+M295</f>
        <v>70415000</v>
      </c>
      <c r="N296" s="567">
        <v>138999500</v>
      </c>
      <c r="O296" s="567">
        <v>138999500</v>
      </c>
      <c r="P296" s="567">
        <v>138999500</v>
      </c>
      <c r="Q296" s="567">
        <v>138999500</v>
      </c>
      <c r="R296" s="567">
        <f t="shared" si="5"/>
        <v>10190000</v>
      </c>
      <c r="S296" s="566"/>
      <c r="T296" s="566"/>
      <c r="U296" s="566"/>
      <c r="V296" s="566"/>
      <c r="W296" s="566"/>
      <c r="X296" s="566"/>
    </row>
    <row r="297" spans="3:24" ht="6" customHeight="1"/>
    <row r="298" spans="3:24" ht="16.5" customHeight="1">
      <c r="C298" s="1" t="s">
        <v>548</v>
      </c>
    </row>
    <row r="299" spans="3:24" ht="16.5" customHeight="1">
      <c r="C299" s="2" t="s">
        <v>90</v>
      </c>
      <c r="D299" s="1" t="s">
        <v>549</v>
      </c>
      <c r="R299" s="2"/>
      <c r="S299" s="565"/>
      <c r="T299" s="565"/>
      <c r="U299" s="565"/>
      <c r="V299" s="565"/>
      <c r="W299" s="565"/>
      <c r="X299" s="565"/>
    </row>
    <row r="300" spans="3:24" ht="16.5" customHeight="1">
      <c r="C300" s="2"/>
      <c r="D300" s="15" t="s">
        <v>53</v>
      </c>
      <c r="E300" s="1" t="s">
        <v>245</v>
      </c>
      <c r="R300" s="2" t="s">
        <v>6</v>
      </c>
      <c r="S300" s="565">
        <v>50000</v>
      </c>
      <c r="T300" s="565"/>
      <c r="U300" s="565"/>
      <c r="V300" s="565"/>
      <c r="W300" s="565"/>
      <c r="X300" s="565"/>
    </row>
    <row r="301" spans="3:24" ht="16.5" customHeight="1">
      <c r="C301" s="2"/>
      <c r="D301" s="15" t="s">
        <v>53</v>
      </c>
      <c r="E301" s="1" t="s">
        <v>251</v>
      </c>
      <c r="R301" s="2" t="s">
        <v>6</v>
      </c>
      <c r="S301" s="565">
        <v>50000</v>
      </c>
      <c r="T301" s="565"/>
      <c r="U301" s="565"/>
      <c r="V301" s="565"/>
      <c r="W301" s="565"/>
      <c r="X301" s="565"/>
    </row>
    <row r="302" spans="3:24" ht="16.5" customHeight="1">
      <c r="C302" s="2"/>
      <c r="D302" s="15" t="s">
        <v>53</v>
      </c>
      <c r="E302" s="1" t="s">
        <v>252</v>
      </c>
      <c r="R302" s="2" t="s">
        <v>6</v>
      </c>
      <c r="S302" s="565">
        <v>1550000</v>
      </c>
      <c r="T302" s="565"/>
      <c r="U302" s="565"/>
      <c r="V302" s="565"/>
      <c r="W302" s="565"/>
      <c r="X302" s="565"/>
    </row>
    <row r="303" spans="3:24" ht="16.5" customHeight="1">
      <c r="C303" s="2"/>
      <c r="D303" s="15" t="s">
        <v>53</v>
      </c>
      <c r="E303" s="1" t="s">
        <v>258</v>
      </c>
      <c r="R303" s="2" t="s">
        <v>6</v>
      </c>
      <c r="S303" s="565">
        <v>75000</v>
      </c>
      <c r="T303" s="565"/>
      <c r="U303" s="565"/>
      <c r="V303" s="565"/>
      <c r="W303" s="565"/>
      <c r="X303" s="565"/>
    </row>
    <row r="304" spans="3:24" ht="16.5" customHeight="1">
      <c r="C304" s="2"/>
      <c r="D304" s="15" t="s">
        <v>53</v>
      </c>
      <c r="E304" s="1" t="s">
        <v>550</v>
      </c>
      <c r="R304" s="2" t="s">
        <v>6</v>
      </c>
      <c r="S304" s="565">
        <v>600000</v>
      </c>
      <c r="T304" s="565"/>
      <c r="U304" s="565"/>
      <c r="V304" s="565"/>
      <c r="W304" s="565"/>
      <c r="X304" s="565"/>
    </row>
    <row r="305" spans="2:24" ht="16.5" customHeight="1">
      <c r="C305" s="2"/>
      <c r="D305" s="15" t="s">
        <v>53</v>
      </c>
      <c r="E305" s="1" t="s">
        <v>246</v>
      </c>
      <c r="R305" s="2" t="s">
        <v>6</v>
      </c>
      <c r="S305" s="565">
        <v>4500000</v>
      </c>
      <c r="T305" s="565"/>
      <c r="U305" s="565"/>
      <c r="V305" s="565"/>
      <c r="W305" s="565"/>
      <c r="X305" s="565"/>
    </row>
    <row r="306" spans="2:24" ht="16.5" customHeight="1">
      <c r="C306" s="2" t="s">
        <v>91</v>
      </c>
      <c r="D306" s="190" t="s">
        <v>551</v>
      </c>
      <c r="R306" s="2"/>
      <c r="S306" s="28"/>
      <c r="T306" s="28"/>
      <c r="U306" s="28"/>
      <c r="V306" s="28"/>
      <c r="W306" s="28"/>
      <c r="X306" s="28"/>
    </row>
    <row r="307" spans="2:24" ht="16.5" customHeight="1">
      <c r="C307" s="2"/>
      <c r="D307" s="15" t="s">
        <v>53</v>
      </c>
      <c r="E307" s="1" t="s">
        <v>245</v>
      </c>
      <c r="R307" s="2" t="s">
        <v>6</v>
      </c>
      <c r="S307" s="565">
        <v>200000</v>
      </c>
      <c r="T307" s="565"/>
      <c r="U307" s="565"/>
      <c r="V307" s="565"/>
      <c r="W307" s="565"/>
      <c r="X307" s="565"/>
    </row>
    <row r="308" spans="2:24" ht="16.5" customHeight="1">
      <c r="C308" s="2"/>
      <c r="D308" s="15" t="s">
        <v>53</v>
      </c>
      <c r="E308" s="1" t="s">
        <v>251</v>
      </c>
      <c r="R308" s="2" t="s">
        <v>6</v>
      </c>
      <c r="S308" s="565">
        <v>400000</v>
      </c>
      <c r="T308" s="565"/>
      <c r="U308" s="565"/>
      <c r="V308" s="565"/>
      <c r="W308" s="565"/>
      <c r="X308" s="565"/>
    </row>
    <row r="309" spans="2:24" ht="16.5" customHeight="1">
      <c r="C309" s="2" t="s">
        <v>92</v>
      </c>
      <c r="D309" s="190" t="s">
        <v>552</v>
      </c>
      <c r="R309" s="2"/>
      <c r="S309" s="28"/>
      <c r="T309" s="28"/>
      <c r="U309" s="28"/>
      <c r="V309" s="28"/>
      <c r="W309" s="28"/>
      <c r="X309" s="28"/>
    </row>
    <row r="310" spans="2:24" ht="16.5" customHeight="1">
      <c r="C310" s="2"/>
      <c r="D310" s="15" t="s">
        <v>53</v>
      </c>
      <c r="E310" s="1" t="s">
        <v>245</v>
      </c>
      <c r="R310" s="2" t="s">
        <v>6</v>
      </c>
      <c r="S310" s="565">
        <v>10000</v>
      </c>
      <c r="T310" s="565"/>
      <c r="U310" s="565"/>
      <c r="V310" s="565"/>
      <c r="W310" s="565"/>
      <c r="X310" s="565"/>
    </row>
    <row r="311" spans="2:24" ht="16.5" customHeight="1">
      <c r="C311" s="2"/>
      <c r="D311" s="15" t="s">
        <v>53</v>
      </c>
      <c r="E311" s="1" t="s">
        <v>252</v>
      </c>
      <c r="R311" s="2" t="s">
        <v>6</v>
      </c>
      <c r="S311" s="565">
        <v>2245000</v>
      </c>
      <c r="T311" s="565"/>
      <c r="U311" s="565"/>
      <c r="V311" s="565"/>
      <c r="W311" s="565"/>
      <c r="X311" s="565"/>
    </row>
    <row r="312" spans="2:24" ht="16.5" customHeight="1">
      <c r="C312" s="2" t="s">
        <v>102</v>
      </c>
      <c r="D312" s="190" t="s">
        <v>368</v>
      </c>
      <c r="R312" s="2"/>
      <c r="S312" s="28"/>
      <c r="T312" s="28"/>
      <c r="U312" s="28"/>
      <c r="V312" s="28"/>
      <c r="W312" s="28"/>
      <c r="X312" s="28"/>
    </row>
    <row r="313" spans="2:24" ht="16.5" customHeight="1">
      <c r="C313" s="2"/>
      <c r="D313" s="15" t="s">
        <v>53</v>
      </c>
      <c r="E313" s="1" t="s">
        <v>245</v>
      </c>
      <c r="R313" s="2" t="s">
        <v>6</v>
      </c>
      <c r="S313" s="565">
        <v>10000</v>
      </c>
      <c r="T313" s="565"/>
      <c r="U313" s="565"/>
      <c r="V313" s="565"/>
      <c r="W313" s="565"/>
      <c r="X313" s="565"/>
    </row>
    <row r="314" spans="2:24" ht="16.5" customHeight="1">
      <c r="C314" s="2"/>
      <c r="D314" s="15" t="s">
        <v>53</v>
      </c>
      <c r="E314" s="1" t="s">
        <v>257</v>
      </c>
      <c r="R314" s="2" t="s">
        <v>6</v>
      </c>
      <c r="S314" s="565">
        <v>300000</v>
      </c>
      <c r="T314" s="565"/>
      <c r="U314" s="565"/>
      <c r="V314" s="565"/>
      <c r="W314" s="565"/>
      <c r="X314" s="565"/>
    </row>
    <row r="315" spans="2:24" ht="16.5" customHeight="1">
      <c r="C315" s="2"/>
      <c r="D315" s="15" t="s">
        <v>53</v>
      </c>
      <c r="E315" s="1" t="s">
        <v>254</v>
      </c>
      <c r="R315" s="2" t="s">
        <v>6</v>
      </c>
      <c r="S315" s="565">
        <v>200000</v>
      </c>
      <c r="T315" s="565"/>
      <c r="U315" s="565"/>
      <c r="V315" s="565"/>
      <c r="W315" s="565"/>
      <c r="X315" s="565"/>
    </row>
    <row r="316" spans="2:24" s="26" customFormat="1" ht="16.5" customHeight="1">
      <c r="C316" s="573" t="s">
        <v>221</v>
      </c>
      <c r="D316" s="573"/>
      <c r="E316" s="573"/>
      <c r="F316" s="573"/>
      <c r="G316" s="573"/>
      <c r="H316" s="573"/>
      <c r="I316" s="573"/>
      <c r="J316" s="573"/>
      <c r="K316" s="573"/>
      <c r="L316" s="573"/>
      <c r="M316" s="573"/>
      <c r="N316" s="573"/>
      <c r="O316" s="573"/>
      <c r="P316" s="573"/>
      <c r="Q316" s="573"/>
      <c r="R316" s="25" t="s">
        <v>6</v>
      </c>
      <c r="S316" s="582">
        <f>SUM(S300:X315)</f>
        <v>10190000</v>
      </c>
      <c r="T316" s="582"/>
      <c r="U316" s="582"/>
      <c r="V316" s="582"/>
      <c r="W316" s="582"/>
      <c r="X316" s="582"/>
    </row>
    <row r="317" spans="2:24" ht="16.5" customHeight="1"/>
    <row r="318" spans="2:24" ht="16.5" customHeight="1">
      <c r="B318" s="1" t="s">
        <v>122</v>
      </c>
      <c r="C318" s="1" t="s">
        <v>120</v>
      </c>
    </row>
    <row r="319" spans="2:24" ht="16.5" customHeight="1">
      <c r="C319" s="1" t="s">
        <v>121</v>
      </c>
    </row>
    <row r="320" spans="2:24" ht="6" customHeight="1"/>
    <row r="321" spans="3:24" s="16" customFormat="1" ht="20.25" customHeight="1">
      <c r="C321" s="568" t="s">
        <v>42</v>
      </c>
      <c r="D321" s="568"/>
      <c r="E321" s="568"/>
      <c r="F321" s="568"/>
      <c r="G321" s="568"/>
      <c r="H321" s="568" t="s">
        <v>43</v>
      </c>
      <c r="I321" s="568"/>
      <c r="J321" s="568"/>
      <c r="K321" s="568"/>
      <c r="L321" s="568"/>
      <c r="M321" s="568" t="s">
        <v>44</v>
      </c>
      <c r="N321" s="568"/>
      <c r="O321" s="568"/>
      <c r="P321" s="568"/>
      <c r="Q321" s="568"/>
      <c r="R321" s="568" t="s">
        <v>55</v>
      </c>
      <c r="S321" s="568"/>
      <c r="T321" s="568"/>
      <c r="U321" s="568"/>
      <c r="V321" s="568"/>
      <c r="W321" s="568"/>
      <c r="X321" s="568"/>
    </row>
    <row r="322" spans="3:24" s="16" customFormat="1" ht="16.5" customHeight="1">
      <c r="C322" s="566" t="s">
        <v>97</v>
      </c>
      <c r="D322" s="566"/>
      <c r="E322" s="566"/>
      <c r="F322" s="566"/>
      <c r="G322" s="566"/>
      <c r="H322" s="567">
        <v>0</v>
      </c>
      <c r="I322" s="567"/>
      <c r="J322" s="567"/>
      <c r="K322" s="567"/>
      <c r="L322" s="567"/>
      <c r="M322" s="567">
        <v>0</v>
      </c>
      <c r="N322" s="567"/>
      <c r="O322" s="567"/>
      <c r="P322" s="567"/>
      <c r="Q322" s="567"/>
      <c r="R322" s="567">
        <f>H322-M322</f>
        <v>0</v>
      </c>
      <c r="S322" s="566"/>
      <c r="T322" s="566"/>
      <c r="U322" s="566"/>
      <c r="V322" s="566"/>
      <c r="W322" s="566"/>
      <c r="X322" s="566"/>
    </row>
    <row r="323" spans="3:24" s="16" customFormat="1" ht="16.5" customHeight="1">
      <c r="C323" s="566" t="s">
        <v>98</v>
      </c>
      <c r="D323" s="566"/>
      <c r="E323" s="566"/>
      <c r="F323" s="566"/>
      <c r="G323" s="566"/>
      <c r="H323" s="567">
        <v>117190000</v>
      </c>
      <c r="I323" s="567"/>
      <c r="J323" s="567"/>
      <c r="K323" s="567"/>
      <c r="L323" s="567"/>
      <c r="M323" s="567">
        <v>110260000</v>
      </c>
      <c r="N323" s="567"/>
      <c r="O323" s="567"/>
      <c r="P323" s="567"/>
      <c r="Q323" s="567"/>
      <c r="R323" s="567">
        <f t="shared" ref="R323:R326" si="6">H323-M323</f>
        <v>6930000</v>
      </c>
      <c r="S323" s="566"/>
      <c r="T323" s="566"/>
      <c r="U323" s="566"/>
      <c r="V323" s="566"/>
      <c r="W323" s="566"/>
      <c r="X323" s="566"/>
    </row>
    <row r="324" spans="3:24" s="16" customFormat="1" ht="16.5" customHeight="1">
      <c r="C324" s="566" t="s">
        <v>99</v>
      </c>
      <c r="D324" s="566"/>
      <c r="E324" s="566"/>
      <c r="F324" s="566"/>
      <c r="G324" s="566"/>
      <c r="H324" s="567">
        <v>0</v>
      </c>
      <c r="I324" s="567"/>
      <c r="J324" s="567"/>
      <c r="K324" s="567"/>
      <c r="L324" s="567"/>
      <c r="M324" s="567">
        <v>0</v>
      </c>
      <c r="N324" s="567"/>
      <c r="O324" s="567"/>
      <c r="P324" s="567"/>
      <c r="Q324" s="567"/>
      <c r="R324" s="567">
        <f t="shared" si="6"/>
        <v>0</v>
      </c>
      <c r="S324" s="566"/>
      <c r="T324" s="566"/>
      <c r="U324" s="566"/>
      <c r="V324" s="566"/>
      <c r="W324" s="566"/>
      <c r="X324" s="566"/>
    </row>
    <row r="325" spans="3:24" s="16" customFormat="1" ht="16.5" customHeight="1">
      <c r="C325" s="566" t="s">
        <v>101</v>
      </c>
      <c r="D325" s="566"/>
      <c r="E325" s="566"/>
      <c r="F325" s="566"/>
      <c r="G325" s="566"/>
      <c r="H325" s="567">
        <v>0</v>
      </c>
      <c r="I325" s="567"/>
      <c r="J325" s="567"/>
      <c r="K325" s="567"/>
      <c r="L325" s="567"/>
      <c r="M325" s="567">
        <v>0</v>
      </c>
      <c r="N325" s="567"/>
      <c r="O325" s="567"/>
      <c r="P325" s="567"/>
      <c r="Q325" s="567"/>
      <c r="R325" s="567">
        <f t="shared" si="6"/>
        <v>0</v>
      </c>
      <c r="S325" s="566"/>
      <c r="T325" s="566"/>
      <c r="U325" s="566"/>
      <c r="V325" s="566"/>
      <c r="W325" s="566"/>
      <c r="X325" s="566"/>
    </row>
    <row r="326" spans="3:24" s="16" customFormat="1" ht="16.5" customHeight="1">
      <c r="C326" s="566" t="s">
        <v>100</v>
      </c>
      <c r="D326" s="566"/>
      <c r="E326" s="566"/>
      <c r="F326" s="566"/>
      <c r="G326" s="566"/>
      <c r="H326" s="567">
        <f>H322+H323+H324+H325</f>
        <v>117190000</v>
      </c>
      <c r="I326" s="567">
        <v>138999500</v>
      </c>
      <c r="J326" s="567">
        <v>138999500</v>
      </c>
      <c r="K326" s="567">
        <v>138999500</v>
      </c>
      <c r="L326" s="567">
        <v>138999500</v>
      </c>
      <c r="M326" s="567">
        <f>M322+M323+M324+M325</f>
        <v>110260000</v>
      </c>
      <c r="N326" s="567">
        <v>138999500</v>
      </c>
      <c r="O326" s="567">
        <v>138999500</v>
      </c>
      <c r="P326" s="567">
        <v>138999500</v>
      </c>
      <c r="Q326" s="567">
        <v>138999500</v>
      </c>
      <c r="R326" s="567">
        <f t="shared" si="6"/>
        <v>6930000</v>
      </c>
      <c r="S326" s="566"/>
      <c r="T326" s="566"/>
      <c r="U326" s="566"/>
      <c r="V326" s="566"/>
      <c r="W326" s="566"/>
      <c r="X326" s="566"/>
    </row>
    <row r="327" spans="3:24" ht="6" customHeight="1"/>
    <row r="328" spans="3:24" ht="16.5" customHeight="1">
      <c r="C328" s="1" t="s">
        <v>553</v>
      </c>
    </row>
    <row r="329" spans="3:24" ht="16.5" customHeight="1">
      <c r="C329" s="18" t="s">
        <v>90</v>
      </c>
      <c r="D329" s="1" t="s">
        <v>554</v>
      </c>
      <c r="R329" s="2"/>
      <c r="S329" s="17"/>
      <c r="T329" s="17"/>
      <c r="U329" s="17"/>
      <c r="V329" s="17"/>
      <c r="W329" s="17"/>
      <c r="X329" s="17"/>
    </row>
    <row r="330" spans="3:24" ht="16.5" customHeight="1">
      <c r="C330" s="18"/>
      <c r="D330" s="15" t="s">
        <v>53</v>
      </c>
      <c r="E330" s="1" t="s">
        <v>245</v>
      </c>
      <c r="R330" s="2" t="s">
        <v>6</v>
      </c>
      <c r="S330" s="565">
        <v>50000</v>
      </c>
      <c r="T330" s="565"/>
      <c r="U330" s="565"/>
      <c r="V330" s="565"/>
      <c r="W330" s="565"/>
      <c r="X330" s="565"/>
    </row>
    <row r="331" spans="3:24" ht="16.5" customHeight="1">
      <c r="C331" s="18"/>
      <c r="D331" s="15" t="s">
        <v>53</v>
      </c>
      <c r="E331" s="1" t="s">
        <v>555</v>
      </c>
      <c r="R331" s="2" t="s">
        <v>6</v>
      </c>
      <c r="S331" s="565">
        <v>3950000</v>
      </c>
      <c r="T331" s="565"/>
      <c r="U331" s="565"/>
      <c r="V331" s="565"/>
      <c r="W331" s="565"/>
      <c r="X331" s="565"/>
    </row>
    <row r="332" spans="3:24" ht="16.5" customHeight="1">
      <c r="C332" s="18"/>
      <c r="D332" s="15" t="s">
        <v>53</v>
      </c>
      <c r="E332" s="1" t="s">
        <v>256</v>
      </c>
      <c r="R332" s="2" t="s">
        <v>6</v>
      </c>
      <c r="S332" s="565">
        <v>195000</v>
      </c>
      <c r="T332" s="565"/>
      <c r="U332" s="565"/>
      <c r="V332" s="565"/>
      <c r="W332" s="565"/>
      <c r="X332" s="565"/>
    </row>
    <row r="333" spans="3:24" ht="16.5" customHeight="1">
      <c r="C333" s="18" t="s">
        <v>91</v>
      </c>
      <c r="D333" s="190" t="s">
        <v>556</v>
      </c>
      <c r="R333" s="2"/>
      <c r="S333" s="28"/>
      <c r="T333" s="28"/>
      <c r="U333" s="28"/>
      <c r="V333" s="28"/>
      <c r="W333" s="28"/>
      <c r="X333" s="28"/>
    </row>
    <row r="334" spans="3:24" ht="16.5" customHeight="1">
      <c r="C334" s="18"/>
      <c r="D334" s="15" t="s">
        <v>53</v>
      </c>
      <c r="E334" s="1" t="s">
        <v>245</v>
      </c>
      <c r="R334" s="2" t="s">
        <v>6</v>
      </c>
      <c r="S334" s="565">
        <v>310000</v>
      </c>
      <c r="T334" s="565"/>
      <c r="U334" s="565"/>
      <c r="V334" s="565"/>
      <c r="W334" s="565"/>
      <c r="X334" s="565"/>
    </row>
    <row r="335" spans="3:24" ht="16.5" customHeight="1">
      <c r="C335" s="18"/>
      <c r="D335" s="15" t="s">
        <v>53</v>
      </c>
      <c r="E335" s="1" t="s">
        <v>251</v>
      </c>
      <c r="R335" s="2" t="s">
        <v>6</v>
      </c>
      <c r="S335" s="565">
        <v>300000</v>
      </c>
      <c r="T335" s="565"/>
      <c r="U335" s="565"/>
      <c r="V335" s="565"/>
      <c r="W335" s="565"/>
      <c r="X335" s="565"/>
    </row>
    <row r="336" spans="3:24" ht="16.5" customHeight="1">
      <c r="C336" s="18"/>
      <c r="D336" s="15" t="s">
        <v>53</v>
      </c>
      <c r="E336" s="1" t="s">
        <v>252</v>
      </c>
      <c r="R336" s="191" t="s">
        <v>6</v>
      </c>
      <c r="S336" s="584">
        <v>1525000</v>
      </c>
      <c r="T336" s="584"/>
      <c r="U336" s="584"/>
      <c r="V336" s="584"/>
      <c r="W336" s="584"/>
      <c r="X336" s="584"/>
    </row>
    <row r="337" spans="2:24" ht="16.5" customHeight="1">
      <c r="C337" s="18"/>
      <c r="D337" s="15" t="s">
        <v>53</v>
      </c>
      <c r="E337" s="1" t="s">
        <v>550</v>
      </c>
      <c r="R337" s="2" t="s">
        <v>6</v>
      </c>
      <c r="S337" s="565">
        <v>600000</v>
      </c>
      <c r="T337" s="565"/>
      <c r="U337" s="565"/>
      <c r="V337" s="565"/>
      <c r="W337" s="565"/>
      <c r="X337" s="565"/>
    </row>
    <row r="338" spans="2:24" s="26" customFormat="1" ht="16.5" customHeight="1">
      <c r="C338" s="573" t="s">
        <v>221</v>
      </c>
      <c r="D338" s="573"/>
      <c r="E338" s="573"/>
      <c r="F338" s="573"/>
      <c r="G338" s="573"/>
      <c r="H338" s="573"/>
      <c r="I338" s="573"/>
      <c r="J338" s="573"/>
      <c r="K338" s="573"/>
      <c r="L338" s="573"/>
      <c r="M338" s="573"/>
      <c r="N338" s="573"/>
      <c r="O338" s="573"/>
      <c r="P338" s="573"/>
      <c r="Q338" s="573"/>
      <c r="R338" s="25" t="s">
        <v>6</v>
      </c>
      <c r="S338" s="574">
        <f>SUM(S329:X337)</f>
        <v>6930000</v>
      </c>
      <c r="T338" s="574"/>
      <c r="U338" s="574"/>
      <c r="V338" s="574"/>
      <c r="W338" s="574"/>
      <c r="X338" s="574"/>
    </row>
    <row r="339" spans="2:24" ht="16.5" customHeight="1"/>
    <row r="340" spans="2:24" ht="16.5" customHeight="1">
      <c r="B340" s="1" t="s">
        <v>123</v>
      </c>
      <c r="C340" s="1" t="s">
        <v>125</v>
      </c>
    </row>
    <row r="341" spans="2:24" ht="16.5" customHeight="1">
      <c r="C341" s="1" t="s">
        <v>124</v>
      </c>
    </row>
    <row r="342" spans="2:24" ht="6" customHeight="1"/>
    <row r="343" spans="2:24" s="16" customFormat="1" ht="20.25" customHeight="1">
      <c r="C343" s="568" t="s">
        <v>42</v>
      </c>
      <c r="D343" s="568"/>
      <c r="E343" s="568"/>
      <c r="F343" s="568"/>
      <c r="G343" s="568"/>
      <c r="H343" s="568" t="s">
        <v>43</v>
      </c>
      <c r="I343" s="568"/>
      <c r="J343" s="568"/>
      <c r="K343" s="568"/>
      <c r="L343" s="568"/>
      <c r="M343" s="568" t="s">
        <v>44</v>
      </c>
      <c r="N343" s="568"/>
      <c r="O343" s="568"/>
      <c r="P343" s="568"/>
      <c r="Q343" s="568"/>
      <c r="R343" s="568" t="s">
        <v>55</v>
      </c>
      <c r="S343" s="568"/>
      <c r="T343" s="568"/>
      <c r="U343" s="568"/>
      <c r="V343" s="568"/>
      <c r="W343" s="568"/>
      <c r="X343" s="568"/>
    </row>
    <row r="344" spans="2:24" s="16" customFormat="1" ht="16.5" customHeight="1">
      <c r="C344" s="566" t="s">
        <v>97</v>
      </c>
      <c r="D344" s="566"/>
      <c r="E344" s="566"/>
      <c r="F344" s="566"/>
      <c r="G344" s="566"/>
      <c r="H344" s="567">
        <v>0</v>
      </c>
      <c r="I344" s="567"/>
      <c r="J344" s="567"/>
      <c r="K344" s="567"/>
      <c r="L344" s="567"/>
      <c r="M344" s="567">
        <v>0</v>
      </c>
      <c r="N344" s="567"/>
      <c r="O344" s="567"/>
      <c r="P344" s="567"/>
      <c r="Q344" s="567"/>
      <c r="R344" s="567">
        <f>H344-M344</f>
        <v>0</v>
      </c>
      <c r="S344" s="566"/>
      <c r="T344" s="566"/>
      <c r="U344" s="566"/>
      <c r="V344" s="566"/>
      <c r="W344" s="566"/>
      <c r="X344" s="566"/>
    </row>
    <row r="345" spans="2:24" s="16" customFormat="1" ht="16.5" customHeight="1">
      <c r="C345" s="566" t="s">
        <v>98</v>
      </c>
      <c r="D345" s="566"/>
      <c r="E345" s="566"/>
      <c r="F345" s="566"/>
      <c r="G345" s="566"/>
      <c r="H345" s="567">
        <v>0</v>
      </c>
      <c r="I345" s="567"/>
      <c r="J345" s="567"/>
      <c r="K345" s="567"/>
      <c r="L345" s="567"/>
      <c r="M345" s="567">
        <v>0</v>
      </c>
      <c r="N345" s="567"/>
      <c r="O345" s="567"/>
      <c r="P345" s="567"/>
      <c r="Q345" s="567"/>
      <c r="R345" s="567">
        <f t="shared" ref="R345:R348" si="7">H345-M345</f>
        <v>0</v>
      </c>
      <c r="S345" s="566"/>
      <c r="T345" s="566"/>
      <c r="U345" s="566"/>
      <c r="V345" s="566"/>
      <c r="W345" s="566"/>
      <c r="X345" s="566"/>
    </row>
    <row r="346" spans="2:24" s="16" customFormat="1" ht="16.5" customHeight="1">
      <c r="C346" s="566" t="s">
        <v>99</v>
      </c>
      <c r="D346" s="566"/>
      <c r="E346" s="566"/>
      <c r="F346" s="566"/>
      <c r="G346" s="566"/>
      <c r="H346" s="567">
        <v>0</v>
      </c>
      <c r="I346" s="567"/>
      <c r="J346" s="567"/>
      <c r="K346" s="567"/>
      <c r="L346" s="567"/>
      <c r="M346" s="567">
        <v>0</v>
      </c>
      <c r="N346" s="567"/>
      <c r="O346" s="567"/>
      <c r="P346" s="567"/>
      <c r="Q346" s="567"/>
      <c r="R346" s="567">
        <f t="shared" si="7"/>
        <v>0</v>
      </c>
      <c r="S346" s="566"/>
      <c r="T346" s="566"/>
      <c r="U346" s="566"/>
      <c r="V346" s="566"/>
      <c r="W346" s="566"/>
      <c r="X346" s="566"/>
    </row>
    <row r="347" spans="2:24" s="16" customFormat="1" ht="16.5" customHeight="1">
      <c r="C347" s="566" t="s">
        <v>101</v>
      </c>
      <c r="D347" s="566"/>
      <c r="E347" s="566"/>
      <c r="F347" s="566"/>
      <c r="G347" s="566"/>
      <c r="H347" s="567">
        <v>36600000</v>
      </c>
      <c r="I347" s="567"/>
      <c r="J347" s="567"/>
      <c r="K347" s="567"/>
      <c r="L347" s="567"/>
      <c r="M347" s="567">
        <v>21600000</v>
      </c>
      <c r="N347" s="567"/>
      <c r="O347" s="567"/>
      <c r="P347" s="567"/>
      <c r="Q347" s="567"/>
      <c r="R347" s="567">
        <f t="shared" si="7"/>
        <v>15000000</v>
      </c>
      <c r="S347" s="566"/>
      <c r="T347" s="566"/>
      <c r="U347" s="566"/>
      <c r="V347" s="566"/>
      <c r="W347" s="566"/>
      <c r="X347" s="566"/>
    </row>
    <row r="348" spans="2:24" s="16" customFormat="1" ht="16.5" customHeight="1">
      <c r="C348" s="566" t="s">
        <v>100</v>
      </c>
      <c r="D348" s="566"/>
      <c r="E348" s="566"/>
      <c r="F348" s="566"/>
      <c r="G348" s="566"/>
      <c r="H348" s="567">
        <f>H344+H345+H346+H347</f>
        <v>36600000</v>
      </c>
      <c r="I348" s="567">
        <v>138999500</v>
      </c>
      <c r="J348" s="567">
        <v>138999500</v>
      </c>
      <c r="K348" s="567">
        <v>138999500</v>
      </c>
      <c r="L348" s="567">
        <v>138999500</v>
      </c>
      <c r="M348" s="567">
        <f>M344+M345+M346+M347</f>
        <v>21600000</v>
      </c>
      <c r="N348" s="567">
        <v>138999500</v>
      </c>
      <c r="O348" s="567">
        <v>138999500</v>
      </c>
      <c r="P348" s="567">
        <v>138999500</v>
      </c>
      <c r="Q348" s="567">
        <v>138999500</v>
      </c>
      <c r="R348" s="567">
        <f t="shared" si="7"/>
        <v>15000000</v>
      </c>
      <c r="S348" s="566"/>
      <c r="T348" s="566"/>
      <c r="U348" s="566"/>
      <c r="V348" s="566"/>
      <c r="W348" s="566"/>
      <c r="X348" s="566"/>
    </row>
    <row r="349" spans="2:24" ht="6" customHeight="1"/>
    <row r="350" spans="2:24" ht="16.5" customHeight="1"/>
    <row r="351" spans="2:24" ht="16.5" customHeight="1">
      <c r="B351" s="1" t="s">
        <v>153</v>
      </c>
      <c r="C351" s="1" t="s">
        <v>126</v>
      </c>
    </row>
    <row r="352" spans="2:24" ht="16.5" customHeight="1">
      <c r="C352" s="1" t="s">
        <v>127</v>
      </c>
    </row>
    <row r="353" spans="3:24" ht="16.5" customHeight="1">
      <c r="C353" s="1" t="s">
        <v>51</v>
      </c>
      <c r="D353" s="1" t="s">
        <v>132</v>
      </c>
    </row>
    <row r="354" spans="3:24" ht="6" customHeight="1"/>
    <row r="355" spans="3:24" s="16" customFormat="1" ht="20.25" customHeight="1">
      <c r="C355" s="568" t="s">
        <v>42</v>
      </c>
      <c r="D355" s="568"/>
      <c r="E355" s="568"/>
      <c r="F355" s="568"/>
      <c r="G355" s="568"/>
      <c r="H355" s="568" t="s">
        <v>43</v>
      </c>
      <c r="I355" s="568"/>
      <c r="J355" s="568"/>
      <c r="K355" s="568"/>
      <c r="L355" s="568"/>
      <c r="M355" s="568" t="s">
        <v>44</v>
      </c>
      <c r="N355" s="568"/>
      <c r="O355" s="568"/>
      <c r="P355" s="568"/>
      <c r="Q355" s="568"/>
      <c r="R355" s="568" t="s">
        <v>55</v>
      </c>
      <c r="S355" s="568"/>
      <c r="T355" s="568"/>
      <c r="U355" s="568"/>
      <c r="V355" s="568"/>
      <c r="W355" s="568"/>
      <c r="X355" s="568"/>
    </row>
    <row r="356" spans="3:24" s="23" customFormat="1" ht="29.25" customHeight="1">
      <c r="C356" s="569" t="s">
        <v>128</v>
      </c>
      <c r="D356" s="569"/>
      <c r="E356" s="569"/>
      <c r="F356" s="569"/>
      <c r="G356" s="569"/>
      <c r="H356" s="570">
        <v>47640000</v>
      </c>
      <c r="I356" s="570"/>
      <c r="J356" s="570"/>
      <c r="K356" s="570"/>
      <c r="L356" s="570"/>
      <c r="M356" s="570">
        <v>47640000</v>
      </c>
      <c r="N356" s="570"/>
      <c r="O356" s="570"/>
      <c r="P356" s="570"/>
      <c r="Q356" s="570"/>
      <c r="R356" s="570">
        <f>H356-M356</f>
        <v>0</v>
      </c>
      <c r="S356" s="569"/>
      <c r="T356" s="569"/>
      <c r="U356" s="569"/>
      <c r="V356" s="569"/>
      <c r="W356" s="569"/>
      <c r="X356" s="569"/>
    </row>
    <row r="357" spans="3:24" s="23" customFormat="1" ht="45.75" customHeight="1">
      <c r="C357" s="569" t="s">
        <v>129</v>
      </c>
      <c r="D357" s="569"/>
      <c r="E357" s="569"/>
      <c r="F357" s="569"/>
      <c r="G357" s="569"/>
      <c r="H357" s="570">
        <v>523164600</v>
      </c>
      <c r="I357" s="570"/>
      <c r="J357" s="570"/>
      <c r="K357" s="570"/>
      <c r="L357" s="570"/>
      <c r="M357" s="570">
        <v>519209300</v>
      </c>
      <c r="N357" s="570"/>
      <c r="O357" s="570"/>
      <c r="P357" s="570"/>
      <c r="Q357" s="570"/>
      <c r="R357" s="570">
        <f t="shared" ref="R357:R360" si="8">H357-M357</f>
        <v>3955300</v>
      </c>
      <c r="S357" s="569"/>
      <c r="T357" s="569"/>
      <c r="U357" s="569"/>
      <c r="V357" s="569"/>
      <c r="W357" s="569"/>
      <c r="X357" s="569"/>
    </row>
    <row r="358" spans="3:24" s="23" customFormat="1" ht="29.25" customHeight="1">
      <c r="C358" s="569" t="s">
        <v>130</v>
      </c>
      <c r="D358" s="569"/>
      <c r="E358" s="569"/>
      <c r="F358" s="569"/>
      <c r="G358" s="569"/>
      <c r="H358" s="570">
        <v>33591600</v>
      </c>
      <c r="I358" s="570"/>
      <c r="J358" s="570"/>
      <c r="K358" s="570"/>
      <c r="L358" s="570"/>
      <c r="M358" s="570">
        <v>31399913</v>
      </c>
      <c r="N358" s="570"/>
      <c r="O358" s="570"/>
      <c r="P358" s="570"/>
      <c r="Q358" s="570"/>
      <c r="R358" s="570">
        <f t="shared" si="8"/>
        <v>2191687</v>
      </c>
      <c r="S358" s="569"/>
      <c r="T358" s="569"/>
      <c r="U358" s="569"/>
      <c r="V358" s="569"/>
      <c r="W358" s="569"/>
      <c r="X358" s="569"/>
    </row>
    <row r="359" spans="3:24" s="23" customFormat="1" ht="20.25" customHeight="1">
      <c r="C359" s="569" t="s">
        <v>131</v>
      </c>
      <c r="D359" s="569"/>
      <c r="E359" s="569"/>
      <c r="F359" s="569"/>
      <c r="G359" s="569"/>
      <c r="H359" s="570">
        <v>61047780</v>
      </c>
      <c r="I359" s="570"/>
      <c r="J359" s="570"/>
      <c r="K359" s="570"/>
      <c r="L359" s="570"/>
      <c r="M359" s="570">
        <v>60492245</v>
      </c>
      <c r="N359" s="570"/>
      <c r="O359" s="570"/>
      <c r="P359" s="570"/>
      <c r="Q359" s="570"/>
      <c r="R359" s="570">
        <f t="shared" si="8"/>
        <v>555535</v>
      </c>
      <c r="S359" s="569"/>
      <c r="T359" s="569"/>
      <c r="U359" s="569"/>
      <c r="V359" s="569"/>
      <c r="W359" s="569"/>
      <c r="X359" s="569"/>
    </row>
    <row r="360" spans="3:24" s="23" customFormat="1" ht="20.25" customHeight="1">
      <c r="C360" s="569" t="s">
        <v>100</v>
      </c>
      <c r="D360" s="569"/>
      <c r="E360" s="569"/>
      <c r="F360" s="569"/>
      <c r="G360" s="569"/>
      <c r="H360" s="570">
        <f>H356+H357+H358+H359</f>
        <v>665443980</v>
      </c>
      <c r="I360" s="570">
        <v>138999500</v>
      </c>
      <c r="J360" s="570">
        <v>138999500</v>
      </c>
      <c r="K360" s="570">
        <v>138999500</v>
      </c>
      <c r="L360" s="570">
        <v>138999500</v>
      </c>
      <c r="M360" s="570">
        <f>M356+M357+M358+M359</f>
        <v>658741458</v>
      </c>
      <c r="N360" s="570">
        <v>138999500</v>
      </c>
      <c r="O360" s="570">
        <v>138999500</v>
      </c>
      <c r="P360" s="570">
        <v>138999500</v>
      </c>
      <c r="Q360" s="570">
        <v>138999500</v>
      </c>
      <c r="R360" s="570">
        <f t="shared" si="8"/>
        <v>6702522</v>
      </c>
      <c r="S360" s="569"/>
      <c r="T360" s="569"/>
      <c r="U360" s="569"/>
      <c r="V360" s="569"/>
      <c r="W360" s="569"/>
      <c r="X360" s="569"/>
    </row>
    <row r="361" spans="3:24" ht="16.5" customHeight="1"/>
    <row r="362" spans="3:24" ht="16.5" customHeight="1">
      <c r="C362" s="1" t="s">
        <v>52</v>
      </c>
      <c r="D362" s="1" t="s">
        <v>133</v>
      </c>
    </row>
    <row r="363" spans="3:24" ht="6" customHeight="1"/>
    <row r="364" spans="3:24" s="16" customFormat="1" ht="20.25" customHeight="1">
      <c r="C364" s="568" t="s">
        <v>42</v>
      </c>
      <c r="D364" s="568"/>
      <c r="E364" s="568"/>
      <c r="F364" s="568"/>
      <c r="G364" s="568"/>
      <c r="H364" s="568" t="s">
        <v>43</v>
      </c>
      <c r="I364" s="568"/>
      <c r="J364" s="568"/>
      <c r="K364" s="568"/>
      <c r="L364" s="568"/>
      <c r="M364" s="568" t="s">
        <v>44</v>
      </c>
      <c r="N364" s="568"/>
      <c r="O364" s="568"/>
      <c r="P364" s="568"/>
      <c r="Q364" s="568"/>
      <c r="R364" s="568" t="s">
        <v>55</v>
      </c>
      <c r="S364" s="568"/>
      <c r="T364" s="568"/>
      <c r="U364" s="568"/>
      <c r="V364" s="568"/>
      <c r="W364" s="568"/>
      <c r="X364" s="568"/>
    </row>
    <row r="365" spans="3:24" s="23" customFormat="1" ht="29.25" customHeight="1">
      <c r="C365" s="569" t="s">
        <v>134</v>
      </c>
      <c r="D365" s="569"/>
      <c r="E365" s="569"/>
      <c r="F365" s="569"/>
      <c r="G365" s="569"/>
      <c r="H365" s="570">
        <v>252371659</v>
      </c>
      <c r="I365" s="570"/>
      <c r="J365" s="570"/>
      <c r="K365" s="570"/>
      <c r="L365" s="570"/>
      <c r="M365" s="570">
        <v>211872850</v>
      </c>
      <c r="N365" s="570"/>
      <c r="O365" s="570"/>
      <c r="P365" s="570"/>
      <c r="Q365" s="570"/>
      <c r="R365" s="570">
        <f>H365-M365</f>
        <v>40498809</v>
      </c>
      <c r="S365" s="569"/>
      <c r="T365" s="569"/>
      <c r="U365" s="569"/>
      <c r="V365" s="569"/>
      <c r="W365" s="569"/>
      <c r="X365" s="569"/>
    </row>
    <row r="366" spans="3:24" s="23" customFormat="1" ht="19.5" customHeight="1">
      <c r="C366" s="569" t="s">
        <v>135</v>
      </c>
      <c r="D366" s="569"/>
      <c r="E366" s="569"/>
      <c r="F366" s="569"/>
      <c r="G366" s="569"/>
      <c r="H366" s="570">
        <v>210260000</v>
      </c>
      <c r="I366" s="570"/>
      <c r="J366" s="570"/>
      <c r="K366" s="570"/>
      <c r="L366" s="570"/>
      <c r="M366" s="570">
        <v>204970000</v>
      </c>
      <c r="N366" s="570"/>
      <c r="O366" s="570"/>
      <c r="P366" s="570"/>
      <c r="Q366" s="570"/>
      <c r="R366" s="570">
        <f t="shared" ref="R366:R372" si="9">H366-M366</f>
        <v>5290000</v>
      </c>
      <c r="S366" s="569"/>
      <c r="T366" s="569"/>
      <c r="U366" s="569"/>
      <c r="V366" s="569"/>
      <c r="W366" s="569"/>
      <c r="X366" s="569"/>
    </row>
    <row r="367" spans="3:24" s="23" customFormat="1" ht="19.5" customHeight="1">
      <c r="C367" s="569" t="s">
        <v>136</v>
      </c>
      <c r="D367" s="569"/>
      <c r="E367" s="569"/>
      <c r="F367" s="569"/>
      <c r="G367" s="569"/>
      <c r="H367" s="570">
        <v>36920000</v>
      </c>
      <c r="I367" s="570"/>
      <c r="J367" s="570"/>
      <c r="K367" s="570"/>
      <c r="L367" s="570"/>
      <c r="M367" s="570">
        <v>30300000</v>
      </c>
      <c r="N367" s="570"/>
      <c r="O367" s="570"/>
      <c r="P367" s="570"/>
      <c r="Q367" s="570"/>
      <c r="R367" s="570">
        <f t="shared" si="9"/>
        <v>6620000</v>
      </c>
      <c r="S367" s="569"/>
      <c r="T367" s="569"/>
      <c r="U367" s="569"/>
      <c r="V367" s="569"/>
      <c r="W367" s="569"/>
      <c r="X367" s="569"/>
    </row>
    <row r="368" spans="3:24" s="23" customFormat="1" ht="19.5" customHeight="1">
      <c r="C368" s="569" t="s">
        <v>137</v>
      </c>
      <c r="D368" s="569"/>
      <c r="E368" s="569"/>
      <c r="F368" s="569"/>
      <c r="G368" s="569"/>
      <c r="H368" s="570">
        <v>52900000</v>
      </c>
      <c r="I368" s="570"/>
      <c r="J368" s="570"/>
      <c r="K368" s="570"/>
      <c r="L368" s="570"/>
      <c r="M368" s="570">
        <v>52700000</v>
      </c>
      <c r="N368" s="570"/>
      <c r="O368" s="570"/>
      <c r="P368" s="570"/>
      <c r="Q368" s="570"/>
      <c r="R368" s="570">
        <f t="shared" si="9"/>
        <v>200000</v>
      </c>
      <c r="S368" s="569"/>
      <c r="T368" s="569"/>
      <c r="U368" s="569"/>
      <c r="V368" s="569"/>
      <c r="W368" s="569"/>
      <c r="X368" s="569"/>
    </row>
    <row r="369" spans="3:24" s="23" customFormat="1" ht="29.25" customHeight="1">
      <c r="C369" s="569" t="s">
        <v>138</v>
      </c>
      <c r="D369" s="569"/>
      <c r="E369" s="569"/>
      <c r="F369" s="569"/>
      <c r="G369" s="569"/>
      <c r="H369" s="570">
        <v>69637678</v>
      </c>
      <c r="I369" s="570"/>
      <c r="J369" s="570"/>
      <c r="K369" s="570"/>
      <c r="L369" s="570"/>
      <c r="M369" s="570">
        <v>62863436</v>
      </c>
      <c r="N369" s="570"/>
      <c r="O369" s="570"/>
      <c r="P369" s="570"/>
      <c r="Q369" s="570"/>
      <c r="R369" s="570">
        <f t="shared" si="9"/>
        <v>6774242</v>
      </c>
      <c r="S369" s="569"/>
      <c r="T369" s="569"/>
      <c r="U369" s="569"/>
      <c r="V369" s="569"/>
      <c r="W369" s="569"/>
      <c r="X369" s="569"/>
    </row>
    <row r="370" spans="3:24" s="23" customFormat="1" ht="19.5" customHeight="1">
      <c r="C370" s="569" t="s">
        <v>139</v>
      </c>
      <c r="D370" s="569"/>
      <c r="E370" s="569"/>
      <c r="F370" s="569"/>
      <c r="G370" s="569"/>
      <c r="H370" s="570">
        <v>38540000</v>
      </c>
      <c r="I370" s="570"/>
      <c r="J370" s="570"/>
      <c r="K370" s="570"/>
      <c r="L370" s="570"/>
      <c r="M370" s="570">
        <v>36128000</v>
      </c>
      <c r="N370" s="570"/>
      <c r="O370" s="570"/>
      <c r="P370" s="570"/>
      <c r="Q370" s="570"/>
      <c r="R370" s="570">
        <f t="shared" si="9"/>
        <v>2412000</v>
      </c>
      <c r="S370" s="569"/>
      <c r="T370" s="569"/>
      <c r="U370" s="569"/>
      <c r="V370" s="569"/>
      <c r="W370" s="569"/>
      <c r="X370" s="569"/>
    </row>
    <row r="371" spans="3:24" s="23" customFormat="1" ht="47.25" customHeight="1">
      <c r="C371" s="569" t="s">
        <v>140</v>
      </c>
      <c r="D371" s="569"/>
      <c r="E371" s="569"/>
      <c r="F371" s="569"/>
      <c r="G371" s="569"/>
      <c r="H371" s="570">
        <v>148315000</v>
      </c>
      <c r="I371" s="570"/>
      <c r="J371" s="570"/>
      <c r="K371" s="570"/>
      <c r="L371" s="570"/>
      <c r="M371" s="570">
        <v>139595000</v>
      </c>
      <c r="N371" s="570"/>
      <c r="O371" s="570"/>
      <c r="P371" s="570"/>
      <c r="Q371" s="570"/>
      <c r="R371" s="570">
        <f t="shared" si="9"/>
        <v>8720000</v>
      </c>
      <c r="S371" s="569"/>
      <c r="T371" s="569"/>
      <c r="U371" s="569"/>
      <c r="V371" s="569"/>
      <c r="W371" s="569"/>
      <c r="X371" s="569"/>
    </row>
    <row r="372" spans="3:24" s="23" customFormat="1" ht="20.25" customHeight="1">
      <c r="C372" s="569" t="s">
        <v>100</v>
      </c>
      <c r="D372" s="569"/>
      <c r="E372" s="569"/>
      <c r="F372" s="569"/>
      <c r="G372" s="569"/>
      <c r="H372" s="570">
        <f>SUM(H365:L371)</f>
        <v>808944337</v>
      </c>
      <c r="I372" s="570">
        <v>138999500</v>
      </c>
      <c r="J372" s="570">
        <v>138999500</v>
      </c>
      <c r="K372" s="570">
        <v>138999500</v>
      </c>
      <c r="L372" s="570">
        <v>138999500</v>
      </c>
      <c r="M372" s="570">
        <f>SUM(M365:Q371)</f>
        <v>738429286</v>
      </c>
      <c r="N372" s="570">
        <v>138999500</v>
      </c>
      <c r="O372" s="570">
        <v>138999500</v>
      </c>
      <c r="P372" s="570">
        <v>138999500</v>
      </c>
      <c r="Q372" s="570">
        <v>138999500</v>
      </c>
      <c r="R372" s="570">
        <f t="shared" si="9"/>
        <v>70515051</v>
      </c>
      <c r="S372" s="569"/>
      <c r="T372" s="569"/>
      <c r="U372" s="569"/>
      <c r="V372" s="569"/>
      <c r="W372" s="569"/>
      <c r="X372" s="569"/>
    </row>
    <row r="373" spans="3:24" ht="16.5" customHeight="1"/>
    <row r="374" spans="3:24" ht="16.5" customHeight="1"/>
    <row r="375" spans="3:24" ht="16.5" customHeight="1">
      <c r="C375" s="1" t="s">
        <v>74</v>
      </c>
      <c r="D375" s="1" t="s">
        <v>141</v>
      </c>
    </row>
    <row r="376" spans="3:24" ht="6" customHeight="1"/>
    <row r="377" spans="3:24" s="16" customFormat="1" ht="20.25" customHeight="1">
      <c r="C377" s="568" t="s">
        <v>42</v>
      </c>
      <c r="D377" s="568"/>
      <c r="E377" s="568"/>
      <c r="F377" s="568"/>
      <c r="G377" s="568"/>
      <c r="H377" s="568" t="s">
        <v>43</v>
      </c>
      <c r="I377" s="568"/>
      <c r="J377" s="568"/>
      <c r="K377" s="568"/>
      <c r="L377" s="568"/>
      <c r="M377" s="568" t="s">
        <v>44</v>
      </c>
      <c r="N377" s="568"/>
      <c r="O377" s="568"/>
      <c r="P377" s="568"/>
      <c r="Q377" s="568"/>
      <c r="R377" s="568" t="s">
        <v>55</v>
      </c>
      <c r="S377" s="568"/>
      <c r="T377" s="568"/>
      <c r="U377" s="568"/>
      <c r="V377" s="568"/>
      <c r="W377" s="568"/>
      <c r="X377" s="568"/>
    </row>
    <row r="378" spans="3:24" s="23" customFormat="1" ht="30" customHeight="1">
      <c r="C378" s="569" t="s">
        <v>142</v>
      </c>
      <c r="D378" s="569"/>
      <c r="E378" s="569"/>
      <c r="F378" s="569"/>
      <c r="G378" s="569"/>
      <c r="H378" s="570">
        <v>0</v>
      </c>
      <c r="I378" s="570"/>
      <c r="J378" s="570"/>
      <c r="K378" s="570"/>
      <c r="L378" s="570"/>
      <c r="M378" s="570">
        <v>0</v>
      </c>
      <c r="N378" s="570"/>
      <c r="O378" s="570"/>
      <c r="P378" s="570"/>
      <c r="Q378" s="570"/>
      <c r="R378" s="570">
        <f>H378-M378</f>
        <v>0</v>
      </c>
      <c r="S378" s="569"/>
      <c r="T378" s="569"/>
      <c r="U378" s="569"/>
      <c r="V378" s="569"/>
      <c r="W378" s="569"/>
      <c r="X378" s="569"/>
    </row>
    <row r="379" spans="3:24" s="23" customFormat="1" ht="45" customHeight="1">
      <c r="C379" s="569" t="s">
        <v>143</v>
      </c>
      <c r="D379" s="569"/>
      <c r="E379" s="569"/>
      <c r="F379" s="569"/>
      <c r="G379" s="569"/>
      <c r="H379" s="570">
        <v>102494759</v>
      </c>
      <c r="I379" s="570"/>
      <c r="J379" s="570"/>
      <c r="K379" s="570"/>
      <c r="L379" s="570"/>
      <c r="M379" s="570">
        <v>23600000</v>
      </c>
      <c r="N379" s="570"/>
      <c r="O379" s="570"/>
      <c r="P379" s="570"/>
      <c r="Q379" s="570"/>
      <c r="R379" s="570">
        <f t="shared" ref="R379:R387" si="10">H379-M379</f>
        <v>78894759</v>
      </c>
      <c r="S379" s="569"/>
      <c r="T379" s="569"/>
      <c r="U379" s="569"/>
      <c r="V379" s="569"/>
      <c r="W379" s="569"/>
      <c r="X379" s="569"/>
    </row>
    <row r="380" spans="3:24" s="23" customFormat="1" ht="30" customHeight="1">
      <c r="C380" s="569" t="s">
        <v>144</v>
      </c>
      <c r="D380" s="569"/>
      <c r="E380" s="569"/>
      <c r="F380" s="569"/>
      <c r="G380" s="569"/>
      <c r="H380" s="570">
        <v>0</v>
      </c>
      <c r="I380" s="570"/>
      <c r="J380" s="570"/>
      <c r="K380" s="570"/>
      <c r="L380" s="570"/>
      <c r="M380" s="570">
        <v>0</v>
      </c>
      <c r="N380" s="570"/>
      <c r="O380" s="570"/>
      <c r="P380" s="570"/>
      <c r="Q380" s="570"/>
      <c r="R380" s="570">
        <f t="shared" si="10"/>
        <v>0</v>
      </c>
      <c r="S380" s="569"/>
      <c r="T380" s="569"/>
      <c r="U380" s="569"/>
      <c r="V380" s="569"/>
      <c r="W380" s="569"/>
      <c r="X380" s="569"/>
    </row>
    <row r="381" spans="3:24" s="23" customFormat="1" ht="30" customHeight="1">
      <c r="C381" s="569" t="s">
        <v>145</v>
      </c>
      <c r="D381" s="569"/>
      <c r="E381" s="569"/>
      <c r="F381" s="569"/>
      <c r="G381" s="569"/>
      <c r="H381" s="570">
        <v>410682000</v>
      </c>
      <c r="I381" s="570"/>
      <c r="J381" s="570"/>
      <c r="K381" s="570"/>
      <c r="L381" s="570"/>
      <c r="M381" s="570">
        <v>406948000</v>
      </c>
      <c r="N381" s="570"/>
      <c r="O381" s="570"/>
      <c r="P381" s="570"/>
      <c r="Q381" s="570"/>
      <c r="R381" s="570">
        <f t="shared" si="10"/>
        <v>3734000</v>
      </c>
      <c r="S381" s="569"/>
      <c r="T381" s="569"/>
      <c r="U381" s="569"/>
      <c r="V381" s="569"/>
      <c r="W381" s="569"/>
      <c r="X381" s="569"/>
    </row>
    <row r="382" spans="3:24" s="23" customFormat="1" ht="30" customHeight="1">
      <c r="C382" s="569" t="s">
        <v>146</v>
      </c>
      <c r="D382" s="569"/>
      <c r="E382" s="569"/>
      <c r="F382" s="569"/>
      <c r="G382" s="569"/>
      <c r="H382" s="570">
        <v>372944000</v>
      </c>
      <c r="I382" s="570"/>
      <c r="J382" s="570"/>
      <c r="K382" s="570"/>
      <c r="L382" s="570"/>
      <c r="M382" s="570">
        <v>364204500</v>
      </c>
      <c r="N382" s="570"/>
      <c r="O382" s="570"/>
      <c r="P382" s="570"/>
      <c r="Q382" s="570"/>
      <c r="R382" s="570">
        <f t="shared" si="10"/>
        <v>8739500</v>
      </c>
      <c r="S382" s="569"/>
      <c r="T382" s="569"/>
      <c r="U382" s="569"/>
      <c r="V382" s="569"/>
      <c r="W382" s="569"/>
      <c r="X382" s="569"/>
    </row>
    <row r="383" spans="3:24" s="23" customFormat="1" ht="30" customHeight="1">
      <c r="C383" s="569" t="s">
        <v>147</v>
      </c>
      <c r="D383" s="569"/>
      <c r="E383" s="569"/>
      <c r="F383" s="569"/>
      <c r="G383" s="569"/>
      <c r="H383" s="570">
        <v>0</v>
      </c>
      <c r="I383" s="570"/>
      <c r="J383" s="570"/>
      <c r="K383" s="570"/>
      <c r="L383" s="570"/>
      <c r="M383" s="570">
        <v>0</v>
      </c>
      <c r="N383" s="570"/>
      <c r="O383" s="570"/>
      <c r="P383" s="570"/>
      <c r="Q383" s="570"/>
      <c r="R383" s="570">
        <f t="shared" si="10"/>
        <v>0</v>
      </c>
      <c r="S383" s="569"/>
      <c r="T383" s="569"/>
      <c r="U383" s="569"/>
      <c r="V383" s="569"/>
      <c r="W383" s="569"/>
      <c r="X383" s="569"/>
    </row>
    <row r="384" spans="3:24" s="23" customFormat="1" ht="46.5" customHeight="1">
      <c r="C384" s="569" t="s">
        <v>150</v>
      </c>
      <c r="D384" s="569"/>
      <c r="E384" s="569"/>
      <c r="F384" s="569"/>
      <c r="G384" s="569"/>
      <c r="H384" s="570">
        <v>0</v>
      </c>
      <c r="I384" s="570"/>
      <c r="J384" s="570"/>
      <c r="K384" s="570"/>
      <c r="L384" s="570"/>
      <c r="M384" s="570">
        <v>0</v>
      </c>
      <c r="N384" s="570"/>
      <c r="O384" s="570"/>
      <c r="P384" s="570"/>
      <c r="Q384" s="570"/>
      <c r="R384" s="570">
        <f t="shared" si="10"/>
        <v>0</v>
      </c>
      <c r="S384" s="569"/>
      <c r="T384" s="569"/>
      <c r="U384" s="569"/>
      <c r="V384" s="569"/>
      <c r="W384" s="569"/>
      <c r="X384" s="569"/>
    </row>
    <row r="385" spans="2:24" s="23" customFormat="1" ht="30" customHeight="1">
      <c r="C385" s="569" t="s">
        <v>148</v>
      </c>
      <c r="D385" s="569"/>
      <c r="E385" s="569"/>
      <c r="F385" s="569"/>
      <c r="G385" s="569"/>
      <c r="H385" s="570">
        <v>0</v>
      </c>
      <c r="I385" s="570"/>
      <c r="J385" s="570"/>
      <c r="K385" s="570"/>
      <c r="L385" s="570"/>
      <c r="M385" s="570">
        <v>0</v>
      </c>
      <c r="N385" s="570"/>
      <c r="O385" s="570"/>
      <c r="P385" s="570"/>
      <c r="Q385" s="570"/>
      <c r="R385" s="570">
        <f t="shared" si="10"/>
        <v>0</v>
      </c>
      <c r="S385" s="569"/>
      <c r="T385" s="569"/>
      <c r="U385" s="569"/>
      <c r="V385" s="569"/>
      <c r="W385" s="569"/>
      <c r="X385" s="569"/>
    </row>
    <row r="386" spans="2:24" s="23" customFormat="1" ht="30" customHeight="1">
      <c r="C386" s="569" t="s">
        <v>149</v>
      </c>
      <c r="D386" s="569"/>
      <c r="E386" s="569"/>
      <c r="F386" s="569"/>
      <c r="G386" s="569"/>
      <c r="H386" s="570">
        <v>0</v>
      </c>
      <c r="I386" s="570"/>
      <c r="J386" s="570"/>
      <c r="K386" s="570"/>
      <c r="L386" s="570"/>
      <c r="M386" s="570">
        <v>0</v>
      </c>
      <c r="N386" s="570"/>
      <c r="O386" s="570"/>
      <c r="P386" s="570"/>
      <c r="Q386" s="570"/>
      <c r="R386" s="570">
        <f t="shared" si="10"/>
        <v>0</v>
      </c>
      <c r="S386" s="569"/>
      <c r="T386" s="569"/>
      <c r="U386" s="569"/>
      <c r="V386" s="569"/>
      <c r="W386" s="569"/>
      <c r="X386" s="569"/>
    </row>
    <row r="387" spans="2:24" s="23" customFormat="1" ht="20.25" customHeight="1">
      <c r="C387" s="569" t="s">
        <v>100</v>
      </c>
      <c r="D387" s="569"/>
      <c r="E387" s="569"/>
      <c r="F387" s="569"/>
      <c r="G387" s="569"/>
      <c r="H387" s="570">
        <f>SUM(H378:L386)</f>
        <v>886120759</v>
      </c>
      <c r="I387" s="570">
        <v>138999500</v>
      </c>
      <c r="J387" s="570">
        <v>138999500</v>
      </c>
      <c r="K387" s="570">
        <v>138999500</v>
      </c>
      <c r="L387" s="570">
        <v>138999500</v>
      </c>
      <c r="M387" s="570">
        <f>SUM(M378:Q386)</f>
        <v>794752500</v>
      </c>
      <c r="N387" s="570">
        <v>138999500</v>
      </c>
      <c r="O387" s="570">
        <v>138999500</v>
      </c>
      <c r="P387" s="570">
        <v>138999500</v>
      </c>
      <c r="Q387" s="570">
        <v>138999500</v>
      </c>
      <c r="R387" s="570">
        <f t="shared" si="10"/>
        <v>91368259</v>
      </c>
      <c r="S387" s="569"/>
      <c r="T387" s="569"/>
      <c r="U387" s="569"/>
      <c r="V387" s="569"/>
      <c r="W387" s="569"/>
      <c r="X387" s="569"/>
    </row>
    <row r="388" spans="2:24" s="23" customFormat="1" ht="15" customHeight="1">
      <c r="C388" s="3"/>
      <c r="D388" s="3"/>
      <c r="E388" s="3"/>
      <c r="F388" s="3"/>
      <c r="G388" s="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"/>
      <c r="T388" s="3"/>
      <c r="U388" s="3"/>
      <c r="V388" s="3"/>
      <c r="W388" s="3"/>
      <c r="X388" s="3"/>
    </row>
    <row r="389" spans="2:24" s="23" customFormat="1" ht="16.5" customHeight="1">
      <c r="C389" s="4"/>
      <c r="D389" s="3"/>
      <c r="E389" s="3"/>
      <c r="F389" s="3"/>
      <c r="G389" s="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"/>
      <c r="T389" s="3"/>
      <c r="U389" s="3"/>
      <c r="V389" s="3"/>
      <c r="W389" s="3"/>
      <c r="X389" s="3"/>
    </row>
    <row r="390" spans="2:24" ht="16.5" customHeight="1"/>
    <row r="391" spans="2:24" ht="16.5" customHeight="1">
      <c r="C391" s="1" t="s">
        <v>75</v>
      </c>
      <c r="D391" s="1" t="s">
        <v>152</v>
      </c>
    </row>
    <row r="392" spans="2:24" ht="6" customHeight="1"/>
    <row r="393" spans="2:24" s="16" customFormat="1" ht="20.25" customHeight="1">
      <c r="C393" s="568" t="s">
        <v>42</v>
      </c>
      <c r="D393" s="568"/>
      <c r="E393" s="568"/>
      <c r="F393" s="568"/>
      <c r="G393" s="568"/>
      <c r="H393" s="568" t="s">
        <v>43</v>
      </c>
      <c r="I393" s="568"/>
      <c r="J393" s="568"/>
      <c r="K393" s="568"/>
      <c r="L393" s="568"/>
      <c r="M393" s="568" t="s">
        <v>44</v>
      </c>
      <c r="N393" s="568"/>
      <c r="O393" s="568"/>
      <c r="P393" s="568"/>
      <c r="Q393" s="568"/>
      <c r="R393" s="568" t="s">
        <v>55</v>
      </c>
      <c r="S393" s="568"/>
      <c r="T393" s="568"/>
      <c r="U393" s="568"/>
      <c r="V393" s="568"/>
      <c r="W393" s="568"/>
      <c r="X393" s="568"/>
    </row>
    <row r="394" spans="2:24" s="23" customFormat="1" ht="20.25" customHeight="1">
      <c r="C394" s="569" t="s">
        <v>152</v>
      </c>
      <c r="D394" s="569"/>
      <c r="E394" s="569"/>
      <c r="F394" s="569"/>
      <c r="G394" s="569"/>
      <c r="H394" s="567">
        <v>36600000</v>
      </c>
      <c r="I394" s="567"/>
      <c r="J394" s="567"/>
      <c r="K394" s="567"/>
      <c r="L394" s="567"/>
      <c r="M394" s="567">
        <v>36600000</v>
      </c>
      <c r="N394" s="567"/>
      <c r="O394" s="567"/>
      <c r="P394" s="567"/>
      <c r="Q394" s="567"/>
      <c r="R394" s="570">
        <f>H394-M394</f>
        <v>0</v>
      </c>
      <c r="S394" s="569"/>
      <c r="T394" s="569"/>
      <c r="U394" s="569"/>
      <c r="V394" s="569"/>
      <c r="W394" s="569"/>
      <c r="X394" s="569"/>
    </row>
    <row r="395" spans="2:24" s="23" customFormat="1" ht="20.25" customHeight="1">
      <c r="C395" s="569" t="s">
        <v>100</v>
      </c>
      <c r="D395" s="569"/>
      <c r="E395" s="569"/>
      <c r="F395" s="569"/>
      <c r="G395" s="569"/>
      <c r="H395" s="570">
        <f>SUM(H394:L394)</f>
        <v>36600000</v>
      </c>
      <c r="I395" s="570">
        <v>138999500</v>
      </c>
      <c r="J395" s="570">
        <v>138999500</v>
      </c>
      <c r="K395" s="570">
        <v>138999500</v>
      </c>
      <c r="L395" s="570">
        <v>138999500</v>
      </c>
      <c r="M395" s="570">
        <v>21600000</v>
      </c>
      <c r="N395" s="570">
        <v>138999500</v>
      </c>
      <c r="O395" s="570">
        <v>138999500</v>
      </c>
      <c r="P395" s="570">
        <v>138999500</v>
      </c>
      <c r="Q395" s="570">
        <v>138999500</v>
      </c>
      <c r="R395" s="570">
        <f>H395-M395</f>
        <v>15000000</v>
      </c>
      <c r="S395" s="569"/>
      <c r="T395" s="569"/>
      <c r="U395" s="569"/>
      <c r="V395" s="569"/>
      <c r="W395" s="569"/>
      <c r="X395" s="569"/>
    </row>
    <row r="396" spans="2:24" s="23" customFormat="1" ht="11.25" customHeight="1">
      <c r="C396" s="3"/>
      <c r="D396" s="3"/>
      <c r="E396" s="3"/>
      <c r="F396" s="3"/>
      <c r="G396" s="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"/>
      <c r="T396" s="3"/>
      <c r="U396" s="3"/>
      <c r="V396" s="3"/>
      <c r="W396" s="3"/>
      <c r="X396" s="3"/>
    </row>
    <row r="397" spans="2:24" ht="16.5" customHeight="1"/>
    <row r="398" spans="2:24" ht="16.5" customHeight="1">
      <c r="B398" s="1" t="s">
        <v>154</v>
      </c>
      <c r="C398" s="1" t="s">
        <v>155</v>
      </c>
    </row>
    <row r="399" spans="2:24" ht="16.5" customHeight="1">
      <c r="C399" s="1" t="s">
        <v>51</v>
      </c>
      <c r="D399" s="1" t="s">
        <v>156</v>
      </c>
    </row>
    <row r="400" spans="2:24" s="16" customFormat="1" ht="20.25" customHeight="1">
      <c r="C400" s="568" t="s">
        <v>42</v>
      </c>
      <c r="D400" s="568"/>
      <c r="E400" s="568"/>
      <c r="F400" s="568"/>
      <c r="G400" s="568"/>
      <c r="H400" s="568" t="s">
        <v>43</v>
      </c>
      <c r="I400" s="568"/>
      <c r="J400" s="568"/>
      <c r="K400" s="568"/>
      <c r="L400" s="568"/>
      <c r="M400" s="568" t="s">
        <v>44</v>
      </c>
      <c r="N400" s="568"/>
      <c r="O400" s="568"/>
      <c r="P400" s="568"/>
      <c r="Q400" s="568"/>
      <c r="R400" s="568" t="s">
        <v>55</v>
      </c>
      <c r="S400" s="568"/>
      <c r="T400" s="568"/>
      <c r="U400" s="568"/>
      <c r="V400" s="568"/>
      <c r="W400" s="568"/>
      <c r="X400" s="568"/>
    </row>
    <row r="401" spans="3:24" s="23" customFormat="1" ht="60" customHeight="1">
      <c r="C401" s="569" t="s">
        <v>157</v>
      </c>
      <c r="D401" s="569"/>
      <c r="E401" s="569"/>
      <c r="F401" s="569"/>
      <c r="G401" s="569"/>
      <c r="H401" s="570">
        <v>852493317</v>
      </c>
      <c r="I401" s="570"/>
      <c r="J401" s="570"/>
      <c r="K401" s="570"/>
      <c r="L401" s="570"/>
      <c r="M401" s="570">
        <v>820794044</v>
      </c>
      <c r="N401" s="570"/>
      <c r="O401" s="570"/>
      <c r="P401" s="570"/>
      <c r="Q401" s="570"/>
      <c r="R401" s="570">
        <f>H401-M401</f>
        <v>31699273</v>
      </c>
      <c r="S401" s="569"/>
      <c r="T401" s="569"/>
      <c r="U401" s="569"/>
      <c r="V401" s="569"/>
      <c r="W401" s="569"/>
      <c r="X401" s="569"/>
    </row>
    <row r="402" spans="3:24" s="23" customFormat="1" ht="45" customHeight="1">
      <c r="C402" s="569" t="s">
        <v>158</v>
      </c>
      <c r="D402" s="569"/>
      <c r="E402" s="569"/>
      <c r="F402" s="569"/>
      <c r="G402" s="569"/>
      <c r="H402" s="570">
        <v>102680000</v>
      </c>
      <c r="I402" s="570"/>
      <c r="J402" s="570"/>
      <c r="K402" s="570"/>
      <c r="L402" s="570"/>
      <c r="M402" s="570">
        <v>39109200</v>
      </c>
      <c r="N402" s="570"/>
      <c r="O402" s="570"/>
      <c r="P402" s="570"/>
      <c r="Q402" s="570"/>
      <c r="R402" s="570">
        <f t="shared" ref="R402:R406" si="11">H402-M402</f>
        <v>63570800</v>
      </c>
      <c r="S402" s="569"/>
      <c r="T402" s="569"/>
      <c r="U402" s="569"/>
      <c r="V402" s="569"/>
      <c r="W402" s="569"/>
      <c r="X402" s="569"/>
    </row>
    <row r="403" spans="3:24" s="23" customFormat="1" ht="60" customHeight="1">
      <c r="C403" s="569" t="s">
        <v>159</v>
      </c>
      <c r="D403" s="569"/>
      <c r="E403" s="569"/>
      <c r="F403" s="569"/>
      <c r="G403" s="569"/>
      <c r="H403" s="570">
        <v>25670000</v>
      </c>
      <c r="I403" s="570"/>
      <c r="J403" s="570"/>
      <c r="K403" s="570"/>
      <c r="L403" s="570"/>
      <c r="M403" s="570">
        <v>24980000</v>
      </c>
      <c r="N403" s="570"/>
      <c r="O403" s="570"/>
      <c r="P403" s="570"/>
      <c r="Q403" s="570"/>
      <c r="R403" s="570">
        <f t="shared" si="11"/>
        <v>690000</v>
      </c>
      <c r="S403" s="569"/>
      <c r="T403" s="569"/>
      <c r="U403" s="569"/>
      <c r="V403" s="569"/>
      <c r="W403" s="569"/>
      <c r="X403" s="569"/>
    </row>
    <row r="404" spans="3:24" s="23" customFormat="1" ht="58.5" customHeight="1">
      <c r="C404" s="569" t="s">
        <v>160</v>
      </c>
      <c r="D404" s="569"/>
      <c r="E404" s="569"/>
      <c r="F404" s="569"/>
      <c r="G404" s="569"/>
      <c r="H404" s="570">
        <v>63699759</v>
      </c>
      <c r="I404" s="570"/>
      <c r="J404" s="570"/>
      <c r="K404" s="570"/>
      <c r="L404" s="570"/>
      <c r="M404" s="570">
        <v>40685000</v>
      </c>
      <c r="N404" s="570"/>
      <c r="O404" s="570"/>
      <c r="P404" s="570"/>
      <c r="Q404" s="570"/>
      <c r="R404" s="570">
        <f t="shared" si="11"/>
        <v>23014759</v>
      </c>
      <c r="S404" s="569"/>
      <c r="T404" s="569"/>
      <c r="U404" s="569"/>
      <c r="V404" s="569"/>
      <c r="W404" s="569"/>
      <c r="X404" s="569"/>
    </row>
    <row r="405" spans="3:24" s="23" customFormat="1" ht="30" customHeight="1">
      <c r="C405" s="569" t="s">
        <v>161</v>
      </c>
      <c r="D405" s="569"/>
      <c r="E405" s="569"/>
      <c r="F405" s="569"/>
      <c r="G405" s="569"/>
      <c r="H405" s="570">
        <v>2260000</v>
      </c>
      <c r="I405" s="570"/>
      <c r="J405" s="570"/>
      <c r="K405" s="570"/>
      <c r="L405" s="570"/>
      <c r="M405" s="570">
        <v>0</v>
      </c>
      <c r="N405" s="570"/>
      <c r="O405" s="570"/>
      <c r="P405" s="570"/>
      <c r="Q405" s="570"/>
      <c r="R405" s="570">
        <f t="shared" si="11"/>
        <v>2260000</v>
      </c>
      <c r="S405" s="569"/>
      <c r="T405" s="569"/>
      <c r="U405" s="569"/>
      <c r="V405" s="569"/>
      <c r="W405" s="569"/>
      <c r="X405" s="569"/>
    </row>
    <row r="406" spans="3:24" s="23" customFormat="1" ht="20.25" customHeight="1">
      <c r="C406" s="569" t="s">
        <v>100</v>
      </c>
      <c r="D406" s="569"/>
      <c r="E406" s="569"/>
      <c r="F406" s="569"/>
      <c r="G406" s="569"/>
      <c r="H406" s="570">
        <f>SUM(H401:L405)</f>
        <v>1046803076</v>
      </c>
      <c r="I406" s="570">
        <v>138999500</v>
      </c>
      <c r="J406" s="570">
        <v>138999500</v>
      </c>
      <c r="K406" s="570">
        <v>138999500</v>
      </c>
      <c r="L406" s="570">
        <v>138999500</v>
      </c>
      <c r="M406" s="570">
        <f>SUM(M401:Q405)</f>
        <v>925568244</v>
      </c>
      <c r="N406" s="570">
        <v>138999500</v>
      </c>
      <c r="O406" s="570">
        <v>138999500</v>
      </c>
      <c r="P406" s="570">
        <v>138999500</v>
      </c>
      <c r="Q406" s="570">
        <v>138999500</v>
      </c>
      <c r="R406" s="570">
        <f t="shared" si="11"/>
        <v>121234832</v>
      </c>
      <c r="S406" s="569"/>
      <c r="T406" s="569"/>
      <c r="U406" s="569"/>
      <c r="V406" s="569"/>
      <c r="W406" s="569"/>
      <c r="X406" s="569"/>
    </row>
    <row r="407" spans="3:24" ht="16.5" customHeight="1"/>
    <row r="408" spans="3:24" ht="16.5" customHeight="1">
      <c r="C408" s="1" t="s">
        <v>52</v>
      </c>
      <c r="D408" s="1" t="s">
        <v>162</v>
      </c>
    </row>
    <row r="409" spans="3:24" s="16" customFormat="1" ht="20.25" customHeight="1">
      <c r="C409" s="568" t="s">
        <v>42</v>
      </c>
      <c r="D409" s="568"/>
      <c r="E409" s="568"/>
      <c r="F409" s="568"/>
      <c r="G409" s="568"/>
      <c r="H409" s="568" t="s">
        <v>43</v>
      </c>
      <c r="I409" s="568"/>
      <c r="J409" s="568"/>
      <c r="K409" s="568"/>
      <c r="L409" s="568"/>
      <c r="M409" s="568" t="s">
        <v>44</v>
      </c>
      <c r="N409" s="568"/>
      <c r="O409" s="568"/>
      <c r="P409" s="568"/>
      <c r="Q409" s="568"/>
      <c r="R409" s="568" t="s">
        <v>55</v>
      </c>
      <c r="S409" s="568"/>
      <c r="T409" s="568"/>
      <c r="U409" s="568"/>
      <c r="V409" s="568"/>
      <c r="W409" s="568"/>
      <c r="X409" s="568"/>
    </row>
    <row r="410" spans="3:24" s="23" customFormat="1" ht="20.25" customHeight="1">
      <c r="C410" s="569" t="s">
        <v>163</v>
      </c>
      <c r="D410" s="569"/>
      <c r="E410" s="569"/>
      <c r="F410" s="569"/>
      <c r="G410" s="569"/>
      <c r="H410" s="570">
        <v>540073000</v>
      </c>
      <c r="I410" s="570"/>
      <c r="J410" s="570"/>
      <c r="K410" s="570"/>
      <c r="L410" s="570"/>
      <c r="M410" s="570">
        <v>526359500</v>
      </c>
      <c r="N410" s="570"/>
      <c r="O410" s="570"/>
      <c r="P410" s="570"/>
      <c r="Q410" s="570"/>
      <c r="R410" s="570">
        <f>H410-M410</f>
        <v>13713500</v>
      </c>
      <c r="S410" s="569"/>
      <c r="T410" s="569"/>
      <c r="U410" s="569"/>
      <c r="V410" s="569"/>
      <c r="W410" s="569"/>
      <c r="X410" s="569"/>
    </row>
    <row r="411" spans="3:24" s="23" customFormat="1" ht="20.25" customHeight="1">
      <c r="C411" s="569" t="s">
        <v>164</v>
      </c>
      <c r="D411" s="569"/>
      <c r="E411" s="569"/>
      <c r="F411" s="569"/>
      <c r="G411" s="569"/>
      <c r="H411" s="570">
        <v>201470000</v>
      </c>
      <c r="I411" s="570"/>
      <c r="J411" s="570"/>
      <c r="K411" s="570"/>
      <c r="L411" s="570"/>
      <c r="M411" s="570">
        <v>188322500</v>
      </c>
      <c r="N411" s="570"/>
      <c r="O411" s="570"/>
      <c r="P411" s="570"/>
      <c r="Q411" s="570"/>
      <c r="R411" s="570">
        <f t="shared" ref="R411:R418" si="12">H411-M411</f>
        <v>13147500</v>
      </c>
      <c r="S411" s="569"/>
      <c r="T411" s="569"/>
      <c r="U411" s="569"/>
      <c r="V411" s="569"/>
      <c r="W411" s="569"/>
      <c r="X411" s="569"/>
    </row>
    <row r="412" spans="3:24" s="23" customFormat="1" ht="46.5" customHeight="1">
      <c r="C412" s="569" t="s">
        <v>165</v>
      </c>
      <c r="D412" s="569"/>
      <c r="E412" s="569"/>
      <c r="F412" s="569"/>
      <c r="G412" s="569"/>
      <c r="H412" s="570">
        <v>263018000</v>
      </c>
      <c r="I412" s="570"/>
      <c r="J412" s="570"/>
      <c r="K412" s="570"/>
      <c r="L412" s="570"/>
      <c r="M412" s="570">
        <v>259948000</v>
      </c>
      <c r="N412" s="570"/>
      <c r="O412" s="570"/>
      <c r="P412" s="570"/>
      <c r="Q412" s="570"/>
      <c r="R412" s="570">
        <f t="shared" si="12"/>
        <v>3070000</v>
      </c>
      <c r="S412" s="569"/>
      <c r="T412" s="569"/>
      <c r="U412" s="569"/>
      <c r="V412" s="569"/>
      <c r="W412" s="569"/>
      <c r="X412" s="569"/>
    </row>
    <row r="413" spans="3:24" s="23" customFormat="1" ht="31.5" customHeight="1">
      <c r="C413" s="569" t="s">
        <v>166</v>
      </c>
      <c r="D413" s="569"/>
      <c r="E413" s="569"/>
      <c r="F413" s="569"/>
      <c r="G413" s="569"/>
      <c r="H413" s="570">
        <v>61250000</v>
      </c>
      <c r="I413" s="570"/>
      <c r="J413" s="570"/>
      <c r="K413" s="570"/>
      <c r="L413" s="570"/>
      <c r="M413" s="570">
        <v>61250000</v>
      </c>
      <c r="N413" s="570"/>
      <c r="O413" s="570"/>
      <c r="P413" s="570"/>
      <c r="Q413" s="570"/>
      <c r="R413" s="570">
        <f t="shared" si="12"/>
        <v>0</v>
      </c>
      <c r="S413" s="569"/>
      <c r="T413" s="569"/>
      <c r="U413" s="569"/>
      <c r="V413" s="569"/>
      <c r="W413" s="569"/>
      <c r="X413" s="569"/>
    </row>
    <row r="414" spans="3:24" s="23" customFormat="1" ht="31.5" customHeight="1">
      <c r="C414" s="569" t="s">
        <v>167</v>
      </c>
      <c r="D414" s="569"/>
      <c r="E414" s="569"/>
      <c r="F414" s="569"/>
      <c r="G414" s="569"/>
      <c r="H414" s="570">
        <v>0</v>
      </c>
      <c r="I414" s="570"/>
      <c r="J414" s="570"/>
      <c r="K414" s="570"/>
      <c r="L414" s="570"/>
      <c r="M414" s="570">
        <v>0</v>
      </c>
      <c r="N414" s="570"/>
      <c r="O414" s="570"/>
      <c r="P414" s="570"/>
      <c r="Q414" s="570"/>
      <c r="R414" s="570">
        <f t="shared" si="12"/>
        <v>0</v>
      </c>
      <c r="S414" s="569"/>
      <c r="T414" s="569"/>
      <c r="U414" s="569"/>
      <c r="V414" s="569"/>
      <c r="W414" s="569"/>
      <c r="X414" s="569"/>
    </row>
    <row r="415" spans="3:24" s="23" customFormat="1" ht="45.75" customHeight="1">
      <c r="C415" s="569" t="s">
        <v>168</v>
      </c>
      <c r="D415" s="569"/>
      <c r="E415" s="569"/>
      <c r="F415" s="569"/>
      <c r="G415" s="569"/>
      <c r="H415" s="570">
        <v>1500000</v>
      </c>
      <c r="I415" s="570"/>
      <c r="J415" s="570"/>
      <c r="K415" s="570"/>
      <c r="L415" s="570"/>
      <c r="M415" s="570">
        <v>1350000</v>
      </c>
      <c r="N415" s="570"/>
      <c r="O415" s="570"/>
      <c r="P415" s="570"/>
      <c r="Q415" s="570"/>
      <c r="R415" s="570">
        <f t="shared" si="12"/>
        <v>150000</v>
      </c>
      <c r="S415" s="569"/>
      <c r="T415" s="569"/>
      <c r="U415" s="569"/>
      <c r="V415" s="569"/>
      <c r="W415" s="569"/>
      <c r="X415" s="569"/>
    </row>
    <row r="416" spans="3:24" s="23" customFormat="1" ht="31.5" customHeight="1">
      <c r="C416" s="569" t="s">
        <v>169</v>
      </c>
      <c r="D416" s="569"/>
      <c r="E416" s="569"/>
      <c r="F416" s="569"/>
      <c r="G416" s="569"/>
      <c r="H416" s="570">
        <v>0</v>
      </c>
      <c r="I416" s="570"/>
      <c r="J416" s="570"/>
      <c r="K416" s="570"/>
      <c r="L416" s="570"/>
      <c r="M416" s="570">
        <v>0</v>
      </c>
      <c r="N416" s="570"/>
      <c r="O416" s="570"/>
      <c r="P416" s="570"/>
      <c r="Q416" s="570"/>
      <c r="R416" s="570">
        <f t="shared" si="12"/>
        <v>0</v>
      </c>
      <c r="S416" s="569"/>
      <c r="T416" s="569"/>
      <c r="U416" s="569"/>
      <c r="V416" s="569"/>
      <c r="W416" s="569"/>
      <c r="X416" s="569"/>
    </row>
    <row r="417" spans="3:24" s="23" customFormat="1" ht="19.5" customHeight="1">
      <c r="C417" s="569" t="s">
        <v>170</v>
      </c>
      <c r="D417" s="569"/>
      <c r="E417" s="569"/>
      <c r="F417" s="569"/>
      <c r="G417" s="569"/>
      <c r="H417" s="570">
        <v>48600000</v>
      </c>
      <c r="I417" s="570"/>
      <c r="J417" s="570"/>
      <c r="K417" s="570"/>
      <c r="L417" s="570"/>
      <c r="M417" s="570">
        <v>48450000</v>
      </c>
      <c r="N417" s="570"/>
      <c r="O417" s="570"/>
      <c r="P417" s="570"/>
      <c r="Q417" s="570"/>
      <c r="R417" s="570">
        <f t="shared" si="12"/>
        <v>150000</v>
      </c>
      <c r="S417" s="569"/>
      <c r="T417" s="569"/>
      <c r="U417" s="569"/>
      <c r="V417" s="569"/>
      <c r="W417" s="569"/>
      <c r="X417" s="569"/>
    </row>
    <row r="418" spans="3:24" s="23" customFormat="1" ht="20.25" customHeight="1">
      <c r="C418" s="569" t="s">
        <v>100</v>
      </c>
      <c r="D418" s="569"/>
      <c r="E418" s="569"/>
      <c r="F418" s="569"/>
      <c r="G418" s="569"/>
      <c r="H418" s="570">
        <f>SUM(H410:L417)</f>
        <v>1115911000</v>
      </c>
      <c r="I418" s="570">
        <v>138999500</v>
      </c>
      <c r="J418" s="570">
        <v>138999500</v>
      </c>
      <c r="K418" s="570">
        <v>138999500</v>
      </c>
      <c r="L418" s="570">
        <v>138999500</v>
      </c>
      <c r="M418" s="570">
        <f>SUM(M410:Q417)</f>
        <v>1085680000</v>
      </c>
      <c r="N418" s="570">
        <v>138999500</v>
      </c>
      <c r="O418" s="570">
        <v>138999500</v>
      </c>
      <c r="P418" s="570">
        <v>138999500</v>
      </c>
      <c r="Q418" s="570">
        <v>138999500</v>
      </c>
      <c r="R418" s="570">
        <f t="shared" si="12"/>
        <v>30231000</v>
      </c>
      <c r="S418" s="569"/>
      <c r="T418" s="569"/>
      <c r="U418" s="569"/>
      <c r="V418" s="569"/>
      <c r="W418" s="569"/>
      <c r="X418" s="569"/>
    </row>
    <row r="419" spans="3:24" ht="16.5" customHeight="1"/>
    <row r="420" spans="3:24" ht="16.5" customHeight="1"/>
    <row r="421" spans="3:24" ht="16.5" customHeight="1"/>
    <row r="422" spans="3:24" ht="16.5" customHeight="1"/>
    <row r="423" spans="3:24" s="4" customFormat="1" ht="16.5" customHeight="1">
      <c r="C423" s="4" t="s">
        <v>74</v>
      </c>
      <c r="D423" s="4" t="s">
        <v>171</v>
      </c>
    </row>
    <row r="424" spans="3:24" s="16" customFormat="1" ht="20.25" customHeight="1">
      <c r="C424" s="568" t="s">
        <v>42</v>
      </c>
      <c r="D424" s="568"/>
      <c r="E424" s="568"/>
      <c r="F424" s="568"/>
      <c r="G424" s="568"/>
      <c r="H424" s="568" t="s">
        <v>43</v>
      </c>
      <c r="I424" s="568"/>
      <c r="J424" s="568"/>
      <c r="K424" s="568"/>
      <c r="L424" s="568"/>
      <c r="M424" s="568" t="s">
        <v>44</v>
      </c>
      <c r="N424" s="568"/>
      <c r="O424" s="568"/>
      <c r="P424" s="568"/>
      <c r="Q424" s="568"/>
      <c r="R424" s="568" t="s">
        <v>55</v>
      </c>
      <c r="S424" s="568"/>
      <c r="T424" s="568"/>
      <c r="U424" s="568"/>
      <c r="V424" s="568"/>
      <c r="W424" s="568"/>
      <c r="X424" s="568"/>
    </row>
    <row r="425" spans="3:24" s="23" customFormat="1" ht="49.5" customHeight="1">
      <c r="C425" s="569" t="s">
        <v>172</v>
      </c>
      <c r="D425" s="569"/>
      <c r="E425" s="569"/>
      <c r="F425" s="569"/>
      <c r="G425" s="569"/>
      <c r="H425" s="570">
        <v>12425000</v>
      </c>
      <c r="I425" s="570"/>
      <c r="J425" s="570"/>
      <c r="K425" s="570"/>
      <c r="L425" s="570"/>
      <c r="M425" s="570">
        <v>5600000</v>
      </c>
      <c r="N425" s="570"/>
      <c r="O425" s="570"/>
      <c r="P425" s="570"/>
      <c r="Q425" s="570"/>
      <c r="R425" s="570">
        <f>H425-M425</f>
        <v>6825000</v>
      </c>
      <c r="S425" s="569"/>
      <c r="T425" s="569"/>
      <c r="U425" s="569"/>
      <c r="V425" s="569"/>
      <c r="W425" s="569"/>
      <c r="X425" s="569"/>
    </row>
    <row r="426" spans="3:24" s="23" customFormat="1" ht="32.25" customHeight="1">
      <c r="C426" s="569" t="s">
        <v>173</v>
      </c>
      <c r="D426" s="569"/>
      <c r="E426" s="569"/>
      <c r="F426" s="569"/>
      <c r="G426" s="569"/>
      <c r="H426" s="570">
        <v>5000000</v>
      </c>
      <c r="I426" s="570"/>
      <c r="J426" s="570"/>
      <c r="K426" s="570"/>
      <c r="L426" s="570"/>
      <c r="M426" s="570">
        <v>5000000</v>
      </c>
      <c r="N426" s="570"/>
      <c r="O426" s="570"/>
      <c r="P426" s="570"/>
      <c r="Q426" s="570"/>
      <c r="R426" s="570">
        <f t="shared" ref="R426:R429" si="13">H426-M426</f>
        <v>0</v>
      </c>
      <c r="S426" s="569"/>
      <c r="T426" s="569"/>
      <c r="U426" s="569"/>
      <c r="V426" s="569"/>
      <c r="W426" s="569"/>
      <c r="X426" s="569"/>
    </row>
    <row r="427" spans="3:24" s="23" customFormat="1" ht="33" customHeight="1">
      <c r="C427" s="569" t="s">
        <v>174</v>
      </c>
      <c r="D427" s="569"/>
      <c r="E427" s="569"/>
      <c r="F427" s="569"/>
      <c r="G427" s="569"/>
      <c r="H427" s="570">
        <v>3200000</v>
      </c>
      <c r="I427" s="570"/>
      <c r="J427" s="570"/>
      <c r="K427" s="570"/>
      <c r="L427" s="570"/>
      <c r="M427" s="570">
        <v>3200000</v>
      </c>
      <c r="N427" s="570"/>
      <c r="O427" s="570"/>
      <c r="P427" s="570"/>
      <c r="Q427" s="570"/>
      <c r="R427" s="570">
        <f t="shared" si="13"/>
        <v>0</v>
      </c>
      <c r="S427" s="569"/>
      <c r="T427" s="569"/>
      <c r="U427" s="569"/>
      <c r="V427" s="569"/>
      <c r="W427" s="569"/>
      <c r="X427" s="569"/>
    </row>
    <row r="428" spans="3:24" s="23" customFormat="1" ht="31.5" customHeight="1">
      <c r="C428" s="569" t="s">
        <v>175</v>
      </c>
      <c r="D428" s="569"/>
      <c r="E428" s="569"/>
      <c r="F428" s="569"/>
      <c r="G428" s="569"/>
      <c r="H428" s="570">
        <v>59980000</v>
      </c>
      <c r="I428" s="570"/>
      <c r="J428" s="570"/>
      <c r="K428" s="570"/>
      <c r="L428" s="570"/>
      <c r="M428" s="570">
        <v>56615000</v>
      </c>
      <c r="N428" s="570"/>
      <c r="O428" s="570"/>
      <c r="P428" s="570"/>
      <c r="Q428" s="570"/>
      <c r="R428" s="570">
        <f t="shared" si="13"/>
        <v>3365000</v>
      </c>
      <c r="S428" s="569"/>
      <c r="T428" s="569"/>
      <c r="U428" s="569"/>
      <c r="V428" s="569"/>
      <c r="W428" s="569"/>
      <c r="X428" s="569"/>
    </row>
    <row r="429" spans="3:24" s="23" customFormat="1" ht="20.25" customHeight="1">
      <c r="C429" s="569" t="s">
        <v>100</v>
      </c>
      <c r="D429" s="569"/>
      <c r="E429" s="569"/>
      <c r="F429" s="569"/>
      <c r="G429" s="569"/>
      <c r="H429" s="570">
        <f>SUM(H425:L428)</f>
        <v>80605000</v>
      </c>
      <c r="I429" s="570">
        <v>138999500</v>
      </c>
      <c r="J429" s="570">
        <v>138999500</v>
      </c>
      <c r="K429" s="570">
        <v>138999500</v>
      </c>
      <c r="L429" s="570">
        <v>138999500</v>
      </c>
      <c r="M429" s="570">
        <f>SUM(M425:Q428)</f>
        <v>70415000</v>
      </c>
      <c r="N429" s="570">
        <v>138999500</v>
      </c>
      <c r="O429" s="570">
        <v>138999500</v>
      </c>
      <c r="P429" s="570">
        <v>138999500</v>
      </c>
      <c r="Q429" s="570">
        <v>138999500</v>
      </c>
      <c r="R429" s="570">
        <f t="shared" si="13"/>
        <v>10190000</v>
      </c>
      <c r="S429" s="569"/>
      <c r="T429" s="569"/>
      <c r="U429" s="569"/>
      <c r="V429" s="569"/>
      <c r="W429" s="569"/>
      <c r="X429" s="569"/>
    </row>
    <row r="430" spans="3:24" ht="16.5" customHeight="1"/>
    <row r="431" spans="3:24" s="4" customFormat="1" ht="16.5" customHeight="1">
      <c r="C431" s="4" t="s">
        <v>75</v>
      </c>
      <c r="D431" s="4" t="s">
        <v>176</v>
      </c>
    </row>
    <row r="432" spans="3:24" s="16" customFormat="1" ht="20.25" customHeight="1">
      <c r="C432" s="568" t="s">
        <v>42</v>
      </c>
      <c r="D432" s="568"/>
      <c r="E432" s="568"/>
      <c r="F432" s="568"/>
      <c r="G432" s="568"/>
      <c r="H432" s="568" t="s">
        <v>43</v>
      </c>
      <c r="I432" s="568"/>
      <c r="J432" s="568"/>
      <c r="K432" s="568"/>
      <c r="L432" s="568"/>
      <c r="M432" s="568" t="s">
        <v>44</v>
      </c>
      <c r="N432" s="568"/>
      <c r="O432" s="568"/>
      <c r="P432" s="568"/>
      <c r="Q432" s="568"/>
      <c r="R432" s="568" t="s">
        <v>55</v>
      </c>
      <c r="S432" s="568"/>
      <c r="T432" s="568"/>
      <c r="U432" s="568"/>
      <c r="V432" s="568"/>
      <c r="W432" s="568"/>
      <c r="X432" s="568"/>
    </row>
    <row r="433" spans="3:24" s="23" customFormat="1" ht="33.75" customHeight="1">
      <c r="C433" s="569" t="s">
        <v>177</v>
      </c>
      <c r="D433" s="569"/>
      <c r="E433" s="569"/>
      <c r="F433" s="569"/>
      <c r="G433" s="569"/>
      <c r="H433" s="570">
        <v>0</v>
      </c>
      <c r="I433" s="570"/>
      <c r="J433" s="570"/>
      <c r="K433" s="570"/>
      <c r="L433" s="570"/>
      <c r="M433" s="570">
        <v>0</v>
      </c>
      <c r="N433" s="570"/>
      <c r="O433" s="570"/>
      <c r="P433" s="570"/>
      <c r="Q433" s="570"/>
      <c r="R433" s="570">
        <f>H433-M433</f>
        <v>0</v>
      </c>
      <c r="S433" s="569"/>
      <c r="T433" s="569"/>
      <c r="U433" s="569"/>
      <c r="V433" s="569"/>
      <c r="W433" s="569"/>
      <c r="X433" s="569"/>
    </row>
    <row r="434" spans="3:24" s="23" customFormat="1" ht="32.25" customHeight="1">
      <c r="C434" s="569" t="s">
        <v>178</v>
      </c>
      <c r="D434" s="569"/>
      <c r="E434" s="569"/>
      <c r="F434" s="569"/>
      <c r="G434" s="569"/>
      <c r="H434" s="570">
        <v>0</v>
      </c>
      <c r="I434" s="570"/>
      <c r="J434" s="570"/>
      <c r="K434" s="570"/>
      <c r="L434" s="570"/>
      <c r="M434" s="570">
        <v>0</v>
      </c>
      <c r="N434" s="570"/>
      <c r="O434" s="570"/>
      <c r="P434" s="570"/>
      <c r="Q434" s="570"/>
      <c r="R434" s="570">
        <f t="shared" ref="R434:R440" si="14">H434-M434</f>
        <v>0</v>
      </c>
      <c r="S434" s="569"/>
      <c r="T434" s="569"/>
      <c r="U434" s="569"/>
      <c r="V434" s="569"/>
      <c r="W434" s="569"/>
      <c r="X434" s="569"/>
    </row>
    <row r="435" spans="3:24" s="23" customFormat="1" ht="31.5" customHeight="1">
      <c r="C435" s="569" t="s">
        <v>179</v>
      </c>
      <c r="D435" s="569"/>
      <c r="E435" s="569"/>
      <c r="F435" s="569"/>
      <c r="G435" s="569"/>
      <c r="H435" s="570">
        <v>16000000</v>
      </c>
      <c r="I435" s="570"/>
      <c r="J435" s="570"/>
      <c r="K435" s="570"/>
      <c r="L435" s="570"/>
      <c r="M435" s="570">
        <v>16000000</v>
      </c>
      <c r="N435" s="570"/>
      <c r="O435" s="570"/>
      <c r="P435" s="570"/>
      <c r="Q435" s="570"/>
      <c r="R435" s="570">
        <f t="shared" si="14"/>
        <v>0</v>
      </c>
      <c r="S435" s="569"/>
      <c r="T435" s="569"/>
      <c r="U435" s="569"/>
      <c r="V435" s="569"/>
      <c r="W435" s="569"/>
      <c r="X435" s="569"/>
    </row>
    <row r="436" spans="3:24" s="23" customFormat="1" ht="60.75" customHeight="1">
      <c r="C436" s="569" t="s">
        <v>180</v>
      </c>
      <c r="D436" s="569"/>
      <c r="E436" s="569"/>
      <c r="F436" s="569"/>
      <c r="G436" s="569"/>
      <c r="H436" s="570">
        <v>86440000</v>
      </c>
      <c r="I436" s="570"/>
      <c r="J436" s="570"/>
      <c r="K436" s="570"/>
      <c r="L436" s="570"/>
      <c r="M436" s="570">
        <v>82245000</v>
      </c>
      <c r="N436" s="570"/>
      <c r="O436" s="570"/>
      <c r="P436" s="570"/>
      <c r="Q436" s="570"/>
      <c r="R436" s="570">
        <f t="shared" si="14"/>
        <v>4195000</v>
      </c>
      <c r="S436" s="569"/>
      <c r="T436" s="569"/>
      <c r="U436" s="569"/>
      <c r="V436" s="569"/>
      <c r="W436" s="569"/>
      <c r="X436" s="569"/>
    </row>
    <row r="437" spans="3:24" s="23" customFormat="1" ht="45.75" customHeight="1">
      <c r="C437" s="569" t="s">
        <v>181</v>
      </c>
      <c r="D437" s="569"/>
      <c r="E437" s="569"/>
      <c r="F437" s="569"/>
      <c r="G437" s="569"/>
      <c r="H437" s="570">
        <v>4510000</v>
      </c>
      <c r="I437" s="570"/>
      <c r="J437" s="570"/>
      <c r="K437" s="570"/>
      <c r="L437" s="570"/>
      <c r="M437" s="570">
        <v>4510000</v>
      </c>
      <c r="N437" s="570"/>
      <c r="O437" s="570"/>
      <c r="P437" s="570"/>
      <c r="Q437" s="570"/>
      <c r="R437" s="570">
        <f t="shared" si="14"/>
        <v>0</v>
      </c>
      <c r="S437" s="569"/>
      <c r="T437" s="569"/>
      <c r="U437" s="569"/>
      <c r="V437" s="569"/>
      <c r="W437" s="569"/>
      <c r="X437" s="569"/>
    </row>
    <row r="438" spans="3:24" s="23" customFormat="1" ht="31.5" customHeight="1">
      <c r="C438" s="569" t="s">
        <v>182</v>
      </c>
      <c r="D438" s="569"/>
      <c r="E438" s="569"/>
      <c r="F438" s="569"/>
      <c r="G438" s="569"/>
      <c r="H438" s="570">
        <v>5085000</v>
      </c>
      <c r="I438" s="570"/>
      <c r="J438" s="570"/>
      <c r="K438" s="570"/>
      <c r="L438" s="570"/>
      <c r="M438" s="570">
        <v>2350000</v>
      </c>
      <c r="N438" s="570"/>
      <c r="O438" s="570"/>
      <c r="P438" s="570"/>
      <c r="Q438" s="570"/>
      <c r="R438" s="570">
        <f t="shared" si="14"/>
        <v>2735000</v>
      </c>
      <c r="S438" s="569"/>
      <c r="T438" s="569"/>
      <c r="U438" s="569"/>
      <c r="V438" s="569"/>
      <c r="W438" s="569"/>
      <c r="X438" s="569"/>
    </row>
    <row r="439" spans="3:24" s="23" customFormat="1" ht="31.5" customHeight="1">
      <c r="C439" s="569" t="s">
        <v>183</v>
      </c>
      <c r="D439" s="569"/>
      <c r="E439" s="569"/>
      <c r="F439" s="569"/>
      <c r="G439" s="569"/>
      <c r="H439" s="570">
        <v>5155000</v>
      </c>
      <c r="I439" s="570"/>
      <c r="J439" s="570"/>
      <c r="K439" s="570"/>
      <c r="L439" s="570"/>
      <c r="M439" s="570">
        <v>5155000</v>
      </c>
      <c r="N439" s="570"/>
      <c r="O439" s="570"/>
      <c r="P439" s="570"/>
      <c r="Q439" s="570"/>
      <c r="R439" s="570">
        <f t="shared" si="14"/>
        <v>0</v>
      </c>
      <c r="S439" s="569"/>
      <c r="T439" s="569"/>
      <c r="U439" s="569"/>
      <c r="V439" s="569"/>
      <c r="W439" s="569"/>
      <c r="X439" s="569"/>
    </row>
    <row r="440" spans="3:24" s="23" customFormat="1" ht="20.25" customHeight="1">
      <c r="C440" s="569" t="s">
        <v>100</v>
      </c>
      <c r="D440" s="569"/>
      <c r="E440" s="569"/>
      <c r="F440" s="569"/>
      <c r="G440" s="569"/>
      <c r="H440" s="570">
        <f>SUM(H433:L439)</f>
        <v>117190000</v>
      </c>
      <c r="I440" s="570">
        <v>138999500</v>
      </c>
      <c r="J440" s="570">
        <v>138999500</v>
      </c>
      <c r="K440" s="570">
        <v>138999500</v>
      </c>
      <c r="L440" s="570">
        <v>138999500</v>
      </c>
      <c r="M440" s="570">
        <f>SUM(M433:Q439)</f>
        <v>110260000</v>
      </c>
      <c r="N440" s="570">
        <v>138999500</v>
      </c>
      <c r="O440" s="570">
        <v>138999500</v>
      </c>
      <c r="P440" s="570">
        <v>138999500</v>
      </c>
      <c r="Q440" s="570">
        <v>138999500</v>
      </c>
      <c r="R440" s="570">
        <f t="shared" si="14"/>
        <v>6930000</v>
      </c>
      <c r="S440" s="569"/>
      <c r="T440" s="569"/>
      <c r="U440" s="569"/>
      <c r="V440" s="569"/>
      <c r="W440" s="569"/>
      <c r="X440" s="569"/>
    </row>
    <row r="441" spans="3:24" ht="16.5" customHeight="1"/>
    <row r="442" spans="3:24" s="4" customFormat="1" ht="16.5" customHeight="1">
      <c r="C442" s="4" t="s">
        <v>76</v>
      </c>
      <c r="D442" s="4" t="s">
        <v>184</v>
      </c>
    </row>
    <row r="443" spans="3:24" s="16" customFormat="1" ht="20.25" customHeight="1">
      <c r="C443" s="568" t="s">
        <v>42</v>
      </c>
      <c r="D443" s="568"/>
      <c r="E443" s="568"/>
      <c r="F443" s="568"/>
      <c r="G443" s="568"/>
      <c r="H443" s="568" t="s">
        <v>43</v>
      </c>
      <c r="I443" s="568"/>
      <c r="J443" s="568"/>
      <c r="K443" s="568"/>
      <c r="L443" s="568"/>
      <c r="M443" s="568" t="s">
        <v>44</v>
      </c>
      <c r="N443" s="568"/>
      <c r="O443" s="568"/>
      <c r="P443" s="568"/>
      <c r="Q443" s="568"/>
      <c r="R443" s="568" t="s">
        <v>55</v>
      </c>
      <c r="S443" s="568"/>
      <c r="T443" s="568"/>
      <c r="U443" s="568"/>
      <c r="V443" s="568"/>
      <c r="W443" s="568"/>
      <c r="X443" s="568"/>
    </row>
    <row r="444" spans="3:24" s="23" customFormat="1" ht="30.75" customHeight="1">
      <c r="C444" s="569" t="s">
        <v>185</v>
      </c>
      <c r="D444" s="569"/>
      <c r="E444" s="569"/>
      <c r="F444" s="569"/>
      <c r="G444" s="569"/>
      <c r="H444" s="570">
        <v>15000000</v>
      </c>
      <c r="I444" s="570"/>
      <c r="J444" s="570"/>
      <c r="K444" s="570"/>
      <c r="L444" s="570"/>
      <c r="M444" s="570">
        <v>0</v>
      </c>
      <c r="N444" s="570"/>
      <c r="O444" s="570"/>
      <c r="P444" s="570"/>
      <c r="Q444" s="570"/>
      <c r="R444" s="570">
        <f>H444-M444</f>
        <v>15000000</v>
      </c>
      <c r="S444" s="569"/>
      <c r="T444" s="569"/>
      <c r="U444" s="569"/>
      <c r="V444" s="569"/>
      <c r="W444" s="569"/>
      <c r="X444" s="569"/>
    </row>
    <row r="445" spans="3:24" s="23" customFormat="1" ht="29.25" customHeight="1">
      <c r="C445" s="569" t="s">
        <v>186</v>
      </c>
      <c r="D445" s="569"/>
      <c r="E445" s="569"/>
      <c r="F445" s="569"/>
      <c r="G445" s="569"/>
      <c r="H445" s="570">
        <v>0</v>
      </c>
      <c r="I445" s="570"/>
      <c r="J445" s="570"/>
      <c r="K445" s="570"/>
      <c r="L445" s="570"/>
      <c r="M445" s="570">
        <v>0</v>
      </c>
      <c r="N445" s="570"/>
      <c r="O445" s="570"/>
      <c r="P445" s="570"/>
      <c r="Q445" s="570"/>
      <c r="R445" s="570">
        <f t="shared" ref="R445:R447" si="15">H445-M445</f>
        <v>0</v>
      </c>
      <c r="S445" s="569"/>
      <c r="T445" s="569"/>
      <c r="U445" s="569"/>
      <c r="V445" s="569"/>
      <c r="W445" s="569"/>
      <c r="X445" s="569"/>
    </row>
    <row r="446" spans="3:24" s="23" customFormat="1" ht="28.5" customHeight="1">
      <c r="C446" s="569" t="s">
        <v>187</v>
      </c>
      <c r="D446" s="569"/>
      <c r="E446" s="569"/>
      <c r="F446" s="569"/>
      <c r="G446" s="569"/>
      <c r="H446" s="570">
        <v>21600000</v>
      </c>
      <c r="I446" s="570"/>
      <c r="J446" s="570"/>
      <c r="K446" s="570"/>
      <c r="L446" s="570"/>
      <c r="M446" s="570">
        <v>21600000</v>
      </c>
      <c r="N446" s="570"/>
      <c r="O446" s="570"/>
      <c r="P446" s="570"/>
      <c r="Q446" s="570"/>
      <c r="R446" s="570">
        <f t="shared" si="15"/>
        <v>0</v>
      </c>
      <c r="S446" s="569"/>
      <c r="T446" s="569"/>
      <c r="U446" s="569"/>
      <c r="V446" s="569"/>
      <c r="W446" s="569"/>
      <c r="X446" s="569"/>
    </row>
    <row r="447" spans="3:24" s="23" customFormat="1" ht="20.25" customHeight="1">
      <c r="C447" s="569" t="s">
        <v>100</v>
      </c>
      <c r="D447" s="569"/>
      <c r="E447" s="569"/>
      <c r="F447" s="569"/>
      <c r="G447" s="569"/>
      <c r="H447" s="570">
        <f>SUM(H444:L446)</f>
        <v>36600000</v>
      </c>
      <c r="I447" s="570">
        <v>138999500</v>
      </c>
      <c r="J447" s="570">
        <v>138999500</v>
      </c>
      <c r="K447" s="570">
        <v>138999500</v>
      </c>
      <c r="L447" s="570">
        <v>138999500</v>
      </c>
      <c r="M447" s="570">
        <f>SUM(M444:Q446)</f>
        <v>21600000</v>
      </c>
      <c r="N447" s="570">
        <v>138999500</v>
      </c>
      <c r="O447" s="570">
        <v>138999500</v>
      </c>
      <c r="P447" s="570">
        <v>138999500</v>
      </c>
      <c r="Q447" s="570">
        <v>138999500</v>
      </c>
      <c r="R447" s="570">
        <f t="shared" si="15"/>
        <v>15000000</v>
      </c>
      <c r="S447" s="569"/>
      <c r="T447" s="569"/>
      <c r="U447" s="569"/>
      <c r="V447" s="569"/>
      <c r="W447" s="569"/>
      <c r="X447" s="569"/>
    </row>
    <row r="448" spans="3:24" ht="16.5" customHeight="1"/>
    <row r="449" spans="2:24" s="4" customFormat="1" ht="16.5" customHeight="1">
      <c r="B449" s="4" t="s">
        <v>188</v>
      </c>
      <c r="C449" s="4" t="s">
        <v>189</v>
      </c>
    </row>
    <row r="450" spans="2:24" ht="16.5" customHeight="1">
      <c r="C450" s="1" t="s">
        <v>190</v>
      </c>
    </row>
    <row r="451" spans="2:24" s="16" customFormat="1" ht="20.25" customHeight="1">
      <c r="C451" s="568" t="s">
        <v>42</v>
      </c>
      <c r="D451" s="568"/>
      <c r="E451" s="568"/>
      <c r="F451" s="568"/>
      <c r="G451" s="568"/>
      <c r="H451" s="568" t="s">
        <v>43</v>
      </c>
      <c r="I451" s="568"/>
      <c r="J451" s="568"/>
      <c r="K451" s="568"/>
      <c r="L451" s="568"/>
      <c r="M451" s="568" t="s">
        <v>44</v>
      </c>
      <c r="N451" s="568"/>
      <c r="O451" s="568"/>
      <c r="P451" s="568"/>
      <c r="Q451" s="568"/>
      <c r="R451" s="568" t="s">
        <v>55</v>
      </c>
      <c r="S451" s="568"/>
      <c r="T451" s="568"/>
      <c r="U451" s="568"/>
      <c r="V451" s="568"/>
      <c r="W451" s="568"/>
      <c r="X451" s="568"/>
    </row>
    <row r="452" spans="2:24" s="23" customFormat="1" ht="20.25" customHeight="1">
      <c r="C452" s="569" t="s">
        <v>191</v>
      </c>
      <c r="D452" s="569"/>
      <c r="E452" s="569"/>
      <c r="F452" s="569"/>
      <c r="G452" s="569"/>
      <c r="H452" s="570">
        <v>160128976</v>
      </c>
      <c r="I452" s="570"/>
      <c r="J452" s="570"/>
      <c r="K452" s="570"/>
      <c r="L452" s="570"/>
      <c r="M452" s="570">
        <v>160128976</v>
      </c>
      <c r="N452" s="570"/>
      <c r="O452" s="570"/>
      <c r="P452" s="570"/>
      <c r="Q452" s="570"/>
      <c r="R452" s="570">
        <f>H452-M452</f>
        <v>0</v>
      </c>
      <c r="S452" s="569"/>
      <c r="T452" s="569"/>
      <c r="U452" s="569"/>
      <c r="V452" s="569"/>
      <c r="W452" s="569"/>
      <c r="X452" s="569"/>
    </row>
    <row r="453" spans="2:24" s="23" customFormat="1" ht="20.25" customHeight="1">
      <c r="C453" s="569" t="s">
        <v>192</v>
      </c>
      <c r="D453" s="569"/>
      <c r="E453" s="569"/>
      <c r="F453" s="569"/>
      <c r="G453" s="569"/>
      <c r="H453" s="570">
        <v>265000000</v>
      </c>
      <c r="I453" s="570"/>
      <c r="J453" s="570"/>
      <c r="K453" s="570"/>
      <c r="L453" s="570"/>
      <c r="M453" s="570">
        <v>265000000</v>
      </c>
      <c r="N453" s="570"/>
      <c r="O453" s="570"/>
      <c r="P453" s="570"/>
      <c r="Q453" s="570"/>
      <c r="R453" s="570">
        <f t="shared" ref="R453:R454" si="16">H453-M453</f>
        <v>0</v>
      </c>
      <c r="S453" s="569"/>
      <c r="T453" s="569"/>
      <c r="U453" s="569"/>
      <c r="V453" s="569"/>
      <c r="W453" s="569"/>
      <c r="X453" s="569"/>
    </row>
    <row r="454" spans="2:24" s="23" customFormat="1" ht="19.5" customHeight="1">
      <c r="C454" s="569" t="s">
        <v>100</v>
      </c>
      <c r="D454" s="569"/>
      <c r="E454" s="569"/>
      <c r="F454" s="569"/>
      <c r="G454" s="569"/>
      <c r="H454" s="570">
        <f>H452-H453</f>
        <v>-104871024</v>
      </c>
      <c r="I454" s="570">
        <v>138999500</v>
      </c>
      <c r="J454" s="570">
        <v>138999500</v>
      </c>
      <c r="K454" s="570">
        <v>138999500</v>
      </c>
      <c r="L454" s="570">
        <v>138999500</v>
      </c>
      <c r="M454" s="570">
        <f>M452-M453</f>
        <v>-104871024</v>
      </c>
      <c r="N454" s="570">
        <v>138999500</v>
      </c>
      <c r="O454" s="570">
        <v>138999500</v>
      </c>
      <c r="P454" s="570">
        <v>138999500</v>
      </c>
      <c r="Q454" s="570">
        <v>138999500</v>
      </c>
      <c r="R454" s="570">
        <f t="shared" si="16"/>
        <v>0</v>
      </c>
      <c r="S454" s="569"/>
      <c r="T454" s="569"/>
      <c r="U454" s="569"/>
      <c r="V454" s="569"/>
      <c r="W454" s="569"/>
      <c r="X454" s="569"/>
    </row>
    <row r="455" spans="2:24" ht="10.5" customHeight="1"/>
    <row r="456" spans="2:24" s="4" customFormat="1" ht="16.5" customHeight="1">
      <c r="C456" s="4" t="s">
        <v>193</v>
      </c>
    </row>
    <row r="457" spans="2:24" s="16" customFormat="1" ht="20.25" customHeight="1">
      <c r="C457" s="568" t="s">
        <v>42</v>
      </c>
      <c r="D457" s="568"/>
      <c r="E457" s="568"/>
      <c r="F457" s="568"/>
      <c r="G457" s="568"/>
      <c r="H457" s="568" t="s">
        <v>43</v>
      </c>
      <c r="I457" s="568"/>
      <c r="J457" s="568"/>
      <c r="K457" s="568"/>
      <c r="L457" s="568"/>
      <c r="M457" s="568" t="s">
        <v>44</v>
      </c>
      <c r="N457" s="568"/>
      <c r="O457" s="568"/>
      <c r="P457" s="568"/>
      <c r="Q457" s="568"/>
      <c r="R457" s="568" t="s">
        <v>55</v>
      </c>
      <c r="S457" s="568"/>
      <c r="T457" s="568"/>
      <c r="U457" s="568"/>
      <c r="V457" s="568"/>
      <c r="W457" s="568"/>
      <c r="X457" s="568"/>
    </row>
    <row r="458" spans="2:24" s="23" customFormat="1" ht="20.25" customHeight="1">
      <c r="C458" s="569" t="s">
        <v>194</v>
      </c>
      <c r="D458" s="569"/>
      <c r="E458" s="569"/>
      <c r="F458" s="569"/>
      <c r="G458" s="569"/>
      <c r="H458" s="570">
        <v>160128976</v>
      </c>
      <c r="I458" s="570"/>
      <c r="J458" s="570"/>
      <c r="K458" s="570"/>
      <c r="L458" s="570"/>
      <c r="M458" s="570">
        <v>160128976</v>
      </c>
      <c r="N458" s="570"/>
      <c r="O458" s="570"/>
      <c r="P458" s="570"/>
      <c r="Q458" s="570"/>
      <c r="R458" s="570">
        <f>H458-M458</f>
        <v>0</v>
      </c>
      <c r="S458" s="569"/>
      <c r="T458" s="569"/>
      <c r="U458" s="569"/>
      <c r="V458" s="569"/>
      <c r="W458" s="569"/>
      <c r="X458" s="569"/>
    </row>
    <row r="459" spans="2:24" s="23" customFormat="1" ht="20.25" customHeight="1">
      <c r="C459" s="569" t="s">
        <v>195</v>
      </c>
      <c r="D459" s="569"/>
      <c r="E459" s="569"/>
      <c r="F459" s="569"/>
      <c r="G459" s="569"/>
      <c r="H459" s="570">
        <v>0</v>
      </c>
      <c r="I459" s="570"/>
      <c r="J459" s="570"/>
      <c r="K459" s="570"/>
      <c r="L459" s="570"/>
      <c r="M459" s="570">
        <v>0</v>
      </c>
      <c r="N459" s="570"/>
      <c r="O459" s="570"/>
      <c r="P459" s="570"/>
      <c r="Q459" s="570"/>
      <c r="R459" s="570">
        <f t="shared" ref="R459:R463" si="17">H459-M459</f>
        <v>0</v>
      </c>
      <c r="S459" s="569"/>
      <c r="T459" s="569"/>
      <c r="U459" s="569"/>
      <c r="V459" s="569"/>
      <c r="W459" s="569"/>
      <c r="X459" s="569"/>
    </row>
    <row r="460" spans="2:24" s="23" customFormat="1" ht="29.25" customHeight="1">
      <c r="C460" s="569" t="s">
        <v>196</v>
      </c>
      <c r="D460" s="569"/>
      <c r="E460" s="569"/>
      <c r="F460" s="569"/>
      <c r="G460" s="569"/>
      <c r="H460" s="570">
        <v>0</v>
      </c>
      <c r="I460" s="570"/>
      <c r="J460" s="570"/>
      <c r="K460" s="570"/>
      <c r="L460" s="570"/>
      <c r="M460" s="570">
        <v>0</v>
      </c>
      <c r="N460" s="570"/>
      <c r="O460" s="570"/>
      <c r="P460" s="570"/>
      <c r="Q460" s="570"/>
      <c r="R460" s="570">
        <f t="shared" si="17"/>
        <v>0</v>
      </c>
      <c r="S460" s="569"/>
      <c r="T460" s="569"/>
      <c r="U460" s="569"/>
      <c r="V460" s="569"/>
      <c r="W460" s="569"/>
      <c r="X460" s="569"/>
    </row>
    <row r="461" spans="2:24" s="23" customFormat="1" ht="30.75" customHeight="1">
      <c r="C461" s="569" t="s">
        <v>197</v>
      </c>
      <c r="D461" s="569"/>
      <c r="E461" s="569"/>
      <c r="F461" s="569"/>
      <c r="G461" s="569"/>
      <c r="H461" s="570">
        <v>0</v>
      </c>
      <c r="I461" s="570"/>
      <c r="J461" s="570"/>
      <c r="K461" s="570"/>
      <c r="L461" s="570"/>
      <c r="M461" s="570">
        <v>0</v>
      </c>
      <c r="N461" s="570"/>
      <c r="O461" s="570"/>
      <c r="P461" s="570"/>
      <c r="Q461" s="570"/>
      <c r="R461" s="570">
        <f t="shared" si="17"/>
        <v>0</v>
      </c>
      <c r="S461" s="569"/>
      <c r="T461" s="569"/>
      <c r="U461" s="569"/>
      <c r="V461" s="569"/>
      <c r="W461" s="569"/>
      <c r="X461" s="569"/>
    </row>
    <row r="462" spans="2:24" s="23" customFormat="1" ht="30.75" customHeight="1">
      <c r="C462" s="569" t="s">
        <v>198</v>
      </c>
      <c r="D462" s="569"/>
      <c r="E462" s="569"/>
      <c r="F462" s="569"/>
      <c r="G462" s="569"/>
      <c r="H462" s="570">
        <v>0</v>
      </c>
      <c r="I462" s="570"/>
      <c r="J462" s="570"/>
      <c r="K462" s="570"/>
      <c r="L462" s="570"/>
      <c r="M462" s="570">
        <v>0</v>
      </c>
      <c r="N462" s="570"/>
      <c r="O462" s="570"/>
      <c r="P462" s="570"/>
      <c r="Q462" s="570"/>
      <c r="R462" s="570">
        <f t="shared" si="17"/>
        <v>0</v>
      </c>
      <c r="S462" s="569"/>
      <c r="T462" s="569"/>
      <c r="U462" s="569"/>
      <c r="V462" s="569"/>
      <c r="W462" s="569"/>
      <c r="X462" s="569"/>
    </row>
    <row r="463" spans="2:24" s="23" customFormat="1" ht="19.5" customHeight="1">
      <c r="C463" s="569" t="s">
        <v>100</v>
      </c>
      <c r="D463" s="569"/>
      <c r="E463" s="569"/>
      <c r="F463" s="569"/>
      <c r="G463" s="569"/>
      <c r="H463" s="570">
        <f>H458-H462</f>
        <v>160128976</v>
      </c>
      <c r="I463" s="570">
        <v>138999500</v>
      </c>
      <c r="J463" s="570">
        <v>138999500</v>
      </c>
      <c r="K463" s="570">
        <v>138999500</v>
      </c>
      <c r="L463" s="570">
        <v>138999500</v>
      </c>
      <c r="M463" s="570">
        <f>M458-M462</f>
        <v>160128976</v>
      </c>
      <c r="N463" s="570">
        <v>138999500</v>
      </c>
      <c r="O463" s="570">
        <v>138999500</v>
      </c>
      <c r="P463" s="570">
        <v>138999500</v>
      </c>
      <c r="Q463" s="570">
        <v>138999500</v>
      </c>
      <c r="R463" s="570">
        <f t="shared" si="17"/>
        <v>0</v>
      </c>
      <c r="S463" s="569"/>
      <c r="T463" s="569"/>
      <c r="U463" s="569"/>
      <c r="V463" s="569"/>
      <c r="W463" s="569"/>
      <c r="X463" s="569"/>
    </row>
    <row r="464" spans="2:24" ht="8.25" customHeight="1"/>
    <row r="465" spans="3:24" ht="16.5" customHeight="1">
      <c r="C465" s="12" t="s">
        <v>259</v>
      </c>
    </row>
    <row r="466" spans="3:24" ht="16.5" customHeight="1">
      <c r="C466" s="1" t="s">
        <v>557</v>
      </c>
    </row>
    <row r="467" spans="3:24" ht="16.5" customHeight="1">
      <c r="C467" s="2" t="s">
        <v>51</v>
      </c>
      <c r="D467" s="200" t="s">
        <v>260</v>
      </c>
      <c r="E467" s="200"/>
      <c r="F467" s="200"/>
      <c r="G467" s="200"/>
      <c r="H467" s="200"/>
      <c r="I467" s="200"/>
      <c r="J467" s="200"/>
      <c r="K467" s="200"/>
      <c r="L467" s="200"/>
      <c r="M467" s="200"/>
      <c r="N467" s="200"/>
      <c r="O467" s="200"/>
      <c r="P467" s="200"/>
      <c r="Q467" s="200"/>
      <c r="R467" s="201" t="s">
        <v>6</v>
      </c>
      <c r="S467" s="575">
        <v>135901759</v>
      </c>
      <c r="T467" s="575"/>
      <c r="U467" s="575"/>
      <c r="V467" s="575"/>
      <c r="W467" s="575"/>
      <c r="X467" s="575"/>
    </row>
    <row r="468" spans="3:24" ht="16.5" customHeight="1">
      <c r="C468" s="2"/>
      <c r="D468" s="200" t="s">
        <v>261</v>
      </c>
      <c r="E468" s="200"/>
      <c r="F468" s="200"/>
      <c r="G468" s="200"/>
      <c r="H468" s="200"/>
      <c r="I468" s="200"/>
      <c r="J468" s="200"/>
      <c r="K468" s="200"/>
      <c r="L468" s="200"/>
      <c r="M468" s="200"/>
      <c r="N468" s="200"/>
      <c r="O468" s="200"/>
      <c r="P468" s="200"/>
      <c r="Q468" s="200"/>
      <c r="R468" s="201" t="s">
        <v>6</v>
      </c>
      <c r="S468" s="576">
        <v>2550211</v>
      </c>
      <c r="T468" s="576"/>
      <c r="U468" s="576"/>
      <c r="V468" s="576"/>
      <c r="W468" s="576"/>
      <c r="X468" s="576"/>
    </row>
    <row r="469" spans="3:24" ht="16.5" customHeight="1">
      <c r="C469" s="2"/>
      <c r="D469" s="200" t="s">
        <v>262</v>
      </c>
      <c r="E469" s="200"/>
      <c r="F469" s="200"/>
      <c r="G469" s="200"/>
      <c r="H469" s="200"/>
      <c r="I469" s="200"/>
      <c r="J469" s="200"/>
      <c r="K469" s="200"/>
      <c r="L469" s="200"/>
      <c r="M469" s="200"/>
      <c r="N469" s="200"/>
      <c r="O469" s="200"/>
      <c r="P469" s="200"/>
      <c r="Q469" s="200"/>
      <c r="R469" s="201" t="s">
        <v>6</v>
      </c>
      <c r="S469" s="576">
        <v>7368322</v>
      </c>
      <c r="T469" s="576"/>
      <c r="U469" s="576"/>
      <c r="V469" s="576"/>
      <c r="W469" s="576"/>
      <c r="X469" s="576"/>
    </row>
    <row r="470" spans="3:24" ht="16.5" customHeight="1">
      <c r="C470" s="2"/>
      <c r="D470" s="200" t="s">
        <v>571</v>
      </c>
      <c r="E470" s="200"/>
      <c r="F470" s="200"/>
      <c r="G470" s="200"/>
      <c r="H470" s="200"/>
      <c r="I470" s="200"/>
      <c r="J470" s="200"/>
      <c r="K470" s="200"/>
      <c r="L470" s="200"/>
      <c r="M470" s="200"/>
      <c r="N470" s="200"/>
      <c r="O470" s="200"/>
      <c r="P470" s="200"/>
      <c r="Q470" s="200"/>
      <c r="R470" s="201" t="s">
        <v>6</v>
      </c>
      <c r="S470" s="576">
        <v>4812486</v>
      </c>
      <c r="T470" s="576"/>
      <c r="U470" s="576"/>
      <c r="V470" s="576"/>
      <c r="W470" s="576"/>
      <c r="X470" s="576"/>
    </row>
    <row r="471" spans="3:24" ht="16.5" customHeight="1">
      <c r="C471" s="2"/>
      <c r="D471" s="200" t="s">
        <v>572</v>
      </c>
      <c r="E471" s="200"/>
      <c r="F471" s="200"/>
      <c r="G471" s="200"/>
      <c r="H471" s="200"/>
      <c r="I471" s="200"/>
      <c r="J471" s="200"/>
      <c r="K471" s="200"/>
      <c r="L471" s="200"/>
      <c r="M471" s="200"/>
      <c r="N471" s="200"/>
      <c r="O471" s="200"/>
      <c r="P471" s="200"/>
      <c r="Q471" s="200"/>
      <c r="R471" s="201" t="s">
        <v>6</v>
      </c>
      <c r="S471" s="576">
        <v>8308898</v>
      </c>
      <c r="T471" s="576"/>
      <c r="U471" s="576"/>
      <c r="V471" s="576"/>
      <c r="W471" s="576"/>
      <c r="X471" s="576"/>
    </row>
    <row r="472" spans="3:24" ht="16.5" customHeight="1">
      <c r="C472" s="2"/>
      <c r="D472" s="200" t="s">
        <v>573</v>
      </c>
      <c r="E472" s="200"/>
      <c r="F472" s="200"/>
      <c r="G472" s="200"/>
      <c r="H472" s="200"/>
      <c r="I472" s="200"/>
      <c r="J472" s="200"/>
      <c r="K472" s="200"/>
      <c r="L472" s="200"/>
      <c r="M472" s="200"/>
      <c r="N472" s="200"/>
      <c r="O472" s="200"/>
      <c r="P472" s="200"/>
      <c r="Q472" s="200"/>
      <c r="R472" s="201" t="s">
        <v>6</v>
      </c>
      <c r="S472" s="576">
        <v>1187300</v>
      </c>
      <c r="T472" s="576"/>
      <c r="U472" s="576"/>
      <c r="V472" s="576"/>
      <c r="W472" s="576"/>
      <c r="X472" s="576"/>
    </row>
    <row r="473" spans="3:24" ht="16.5" customHeight="1">
      <c r="C473" s="2"/>
      <c r="D473" s="202" t="s">
        <v>50</v>
      </c>
      <c r="E473" s="200"/>
      <c r="F473" s="200"/>
      <c r="G473" s="200"/>
      <c r="H473" s="200"/>
      <c r="I473" s="200"/>
      <c r="J473" s="200"/>
      <c r="K473" s="200"/>
      <c r="L473" s="200"/>
      <c r="M473" s="200"/>
      <c r="N473" s="200"/>
      <c r="O473" s="200"/>
      <c r="P473" s="200"/>
      <c r="Q473" s="200"/>
      <c r="R473" s="201" t="s">
        <v>6</v>
      </c>
      <c r="S473" s="578">
        <f>SUM(S467:X472)</f>
        <v>160128976</v>
      </c>
      <c r="T473" s="578"/>
      <c r="U473" s="578"/>
      <c r="V473" s="578"/>
      <c r="W473" s="578"/>
      <c r="X473" s="578"/>
    </row>
    <row r="474" spans="3:24" ht="12" customHeight="1">
      <c r="D474" s="200"/>
      <c r="E474" s="200"/>
      <c r="F474" s="200"/>
      <c r="G474" s="200"/>
      <c r="H474" s="200"/>
      <c r="I474" s="200"/>
      <c r="J474" s="200"/>
      <c r="K474" s="200"/>
      <c r="L474" s="200"/>
      <c r="M474" s="200"/>
      <c r="N474" s="200"/>
      <c r="O474" s="200"/>
      <c r="P474" s="200"/>
      <c r="Q474" s="200"/>
      <c r="R474" s="200"/>
      <c r="S474" s="200"/>
      <c r="T474" s="200"/>
      <c r="U474" s="200"/>
      <c r="V474" s="200"/>
      <c r="W474" s="200"/>
      <c r="X474" s="200"/>
    </row>
    <row r="475" spans="3:24" s="4" customFormat="1" ht="16.5" customHeight="1">
      <c r="C475" s="4" t="s">
        <v>199</v>
      </c>
    </row>
    <row r="476" spans="3:24" s="16" customFormat="1" ht="20.25" customHeight="1">
      <c r="C476" s="568" t="s">
        <v>42</v>
      </c>
      <c r="D476" s="568"/>
      <c r="E476" s="568"/>
      <c r="F476" s="568"/>
      <c r="G476" s="568"/>
      <c r="H476" s="568" t="s">
        <v>43</v>
      </c>
      <c r="I476" s="568"/>
      <c r="J476" s="568"/>
      <c r="K476" s="568"/>
      <c r="L476" s="568"/>
      <c r="M476" s="568" t="s">
        <v>44</v>
      </c>
      <c r="N476" s="568"/>
      <c r="O476" s="568"/>
      <c r="P476" s="568"/>
      <c r="Q476" s="568"/>
      <c r="R476" s="568" t="s">
        <v>55</v>
      </c>
      <c r="S476" s="568"/>
      <c r="T476" s="568"/>
      <c r="U476" s="568"/>
      <c r="V476" s="568"/>
      <c r="W476" s="568"/>
      <c r="X476" s="568"/>
    </row>
    <row r="477" spans="3:24" s="23" customFormat="1" ht="31.5" customHeight="1">
      <c r="C477" s="569" t="s">
        <v>200</v>
      </c>
      <c r="D477" s="569"/>
      <c r="E477" s="569"/>
      <c r="F477" s="569"/>
      <c r="G477" s="569"/>
      <c r="H477" s="570">
        <v>0</v>
      </c>
      <c r="I477" s="570"/>
      <c r="J477" s="570"/>
      <c r="K477" s="570"/>
      <c r="L477" s="570"/>
      <c r="M477" s="570">
        <v>0</v>
      </c>
      <c r="N477" s="570"/>
      <c r="O477" s="570"/>
      <c r="P477" s="570"/>
      <c r="Q477" s="570"/>
      <c r="R477" s="570">
        <f>H477-M477</f>
        <v>0</v>
      </c>
      <c r="S477" s="569"/>
      <c r="T477" s="569"/>
      <c r="U477" s="569"/>
      <c r="V477" s="569"/>
      <c r="W477" s="569"/>
      <c r="X477" s="569"/>
    </row>
    <row r="478" spans="3:24" s="23" customFormat="1" ht="20.25" customHeight="1">
      <c r="C478" s="569" t="s">
        <v>201</v>
      </c>
      <c r="D478" s="569"/>
      <c r="E478" s="569"/>
      <c r="F478" s="569"/>
      <c r="G478" s="569"/>
      <c r="H478" s="570">
        <v>265000000</v>
      </c>
      <c r="I478" s="570"/>
      <c r="J478" s="570"/>
      <c r="K478" s="570"/>
      <c r="L478" s="570"/>
      <c r="M478" s="570">
        <v>265000000</v>
      </c>
      <c r="N478" s="570"/>
      <c r="O478" s="570"/>
      <c r="P478" s="570"/>
      <c r="Q478" s="570"/>
      <c r="R478" s="570">
        <f t="shared" ref="R478:R481" si="18">H478-M478</f>
        <v>0</v>
      </c>
      <c r="S478" s="569"/>
      <c r="T478" s="569"/>
      <c r="U478" s="569"/>
      <c r="V478" s="569"/>
      <c r="W478" s="569"/>
      <c r="X478" s="569"/>
    </row>
    <row r="479" spans="3:24" s="23" customFormat="1" ht="29.25" customHeight="1">
      <c r="C479" s="569" t="s">
        <v>202</v>
      </c>
      <c r="D479" s="569"/>
      <c r="E479" s="569"/>
      <c r="F479" s="569"/>
      <c r="G479" s="569"/>
      <c r="H479" s="570">
        <v>0</v>
      </c>
      <c r="I479" s="570"/>
      <c r="J479" s="570"/>
      <c r="K479" s="570"/>
      <c r="L479" s="570"/>
      <c r="M479" s="570">
        <v>0</v>
      </c>
      <c r="N479" s="570"/>
      <c r="O479" s="570"/>
      <c r="P479" s="570"/>
      <c r="Q479" s="570"/>
      <c r="R479" s="570">
        <f t="shared" si="18"/>
        <v>0</v>
      </c>
      <c r="S479" s="569"/>
      <c r="T479" s="569"/>
      <c r="U479" s="569"/>
      <c r="V479" s="569"/>
      <c r="W479" s="569"/>
      <c r="X479" s="569"/>
    </row>
    <row r="480" spans="3:24" s="23" customFormat="1" ht="30.75" customHeight="1">
      <c r="C480" s="569" t="s">
        <v>203</v>
      </c>
      <c r="D480" s="569"/>
      <c r="E480" s="569"/>
      <c r="F480" s="569"/>
      <c r="G480" s="569"/>
      <c r="H480" s="570">
        <v>0</v>
      </c>
      <c r="I480" s="570"/>
      <c r="J480" s="570"/>
      <c r="K480" s="570"/>
      <c r="L480" s="570"/>
      <c r="M480" s="570">
        <v>0</v>
      </c>
      <c r="N480" s="570"/>
      <c r="O480" s="570"/>
      <c r="P480" s="570"/>
      <c r="Q480" s="570"/>
      <c r="R480" s="570">
        <f t="shared" si="18"/>
        <v>0</v>
      </c>
      <c r="S480" s="569"/>
      <c r="T480" s="569"/>
      <c r="U480" s="569"/>
      <c r="V480" s="569"/>
      <c r="W480" s="569"/>
      <c r="X480" s="569"/>
    </row>
    <row r="481" spans="2:30" s="23" customFormat="1" ht="19.5" customHeight="1">
      <c r="C481" s="569" t="s">
        <v>100</v>
      </c>
      <c r="D481" s="569"/>
      <c r="E481" s="569"/>
      <c r="F481" s="569"/>
      <c r="G481" s="569"/>
      <c r="H481" s="570">
        <f>SUM(H477:L480)</f>
        <v>265000000</v>
      </c>
      <c r="I481" s="570">
        <v>138999500</v>
      </c>
      <c r="J481" s="570">
        <v>138999500</v>
      </c>
      <c r="K481" s="570">
        <v>138999500</v>
      </c>
      <c r="L481" s="570">
        <v>138999500</v>
      </c>
      <c r="M481" s="570">
        <f>SUM(M477:Q480)</f>
        <v>265000000</v>
      </c>
      <c r="N481" s="570">
        <v>138999500</v>
      </c>
      <c r="O481" s="570">
        <v>138999500</v>
      </c>
      <c r="P481" s="570">
        <v>138999500</v>
      </c>
      <c r="Q481" s="570">
        <v>138999500</v>
      </c>
      <c r="R481" s="570">
        <f t="shared" si="18"/>
        <v>0</v>
      </c>
      <c r="S481" s="569"/>
      <c r="T481" s="569"/>
      <c r="U481" s="569"/>
      <c r="V481" s="569"/>
      <c r="W481" s="569"/>
      <c r="X481" s="569"/>
    </row>
    <row r="482" spans="2:30" ht="16.5" customHeight="1">
      <c r="C482" s="27" t="s">
        <v>204</v>
      </c>
    </row>
    <row r="483" spans="2:30" ht="16.5" customHeight="1">
      <c r="C483" s="1" t="s">
        <v>558</v>
      </c>
    </row>
    <row r="484" spans="2:30" ht="16.5" customHeight="1">
      <c r="C484" s="2"/>
      <c r="D484" s="1" t="s">
        <v>559</v>
      </c>
      <c r="R484" s="2" t="s">
        <v>6</v>
      </c>
      <c r="S484" s="579">
        <v>265000000</v>
      </c>
      <c r="T484" s="579"/>
      <c r="U484" s="579"/>
      <c r="V484" s="579"/>
      <c r="W484" s="579"/>
      <c r="X484" s="579"/>
    </row>
    <row r="485" spans="2:30" ht="16.5" customHeight="1">
      <c r="D485" s="12"/>
      <c r="S485" s="580"/>
      <c r="T485" s="571"/>
      <c r="U485" s="571"/>
      <c r="V485" s="571"/>
      <c r="W485" s="571"/>
      <c r="X485" s="571"/>
    </row>
    <row r="486" spans="2:30" ht="12" customHeight="1">
      <c r="C486" s="24"/>
    </row>
    <row r="487" spans="2:30" s="4" customFormat="1" ht="18.75" customHeight="1">
      <c r="B487" s="4" t="s">
        <v>205</v>
      </c>
      <c r="C487" s="4" t="s">
        <v>206</v>
      </c>
    </row>
    <row r="488" spans="2:30" s="16" customFormat="1" ht="20.25" customHeight="1">
      <c r="C488" s="568" t="s">
        <v>215</v>
      </c>
      <c r="D488" s="568"/>
      <c r="E488" s="568"/>
      <c r="F488" s="568"/>
      <c r="G488" s="568"/>
      <c r="H488" s="568" t="s">
        <v>216</v>
      </c>
      <c r="I488" s="568"/>
      <c r="J488" s="568"/>
      <c r="K488" s="568"/>
      <c r="L488" s="568"/>
      <c r="M488" s="568" t="s">
        <v>263</v>
      </c>
      <c r="N488" s="568"/>
      <c r="O488" s="568"/>
      <c r="P488" s="568"/>
      <c r="Q488" s="568"/>
      <c r="R488" s="568" t="s">
        <v>55</v>
      </c>
      <c r="S488" s="568"/>
      <c r="T488" s="568"/>
      <c r="U488" s="568"/>
      <c r="V488" s="568"/>
      <c r="W488" s="568"/>
      <c r="X488" s="568"/>
    </row>
    <row r="489" spans="2:30" s="23" customFormat="1" ht="19.5" customHeight="1">
      <c r="C489" s="569" t="s">
        <v>207</v>
      </c>
      <c r="D489" s="569"/>
      <c r="E489" s="569"/>
      <c r="F489" s="569"/>
      <c r="G489" s="569"/>
      <c r="H489" s="652">
        <v>0</v>
      </c>
      <c r="I489" s="652"/>
      <c r="J489" s="652"/>
      <c r="K489" s="652"/>
      <c r="L489" s="652"/>
      <c r="M489" s="570">
        <v>0</v>
      </c>
      <c r="N489" s="570"/>
      <c r="O489" s="570"/>
      <c r="P489" s="570"/>
      <c r="Q489" s="570"/>
      <c r="R489" s="570">
        <f>H489-M489</f>
        <v>0</v>
      </c>
      <c r="S489" s="569"/>
      <c r="T489" s="569"/>
      <c r="U489" s="569"/>
      <c r="V489" s="569"/>
      <c r="W489" s="569"/>
      <c r="X489" s="569"/>
    </row>
    <row r="490" spans="2:30" s="23" customFormat="1" ht="19.5" customHeight="1">
      <c r="C490" s="569" t="s">
        <v>208</v>
      </c>
      <c r="D490" s="569"/>
      <c r="E490" s="569"/>
      <c r="F490" s="569"/>
      <c r="G490" s="569"/>
      <c r="H490" s="660">
        <v>435980964</v>
      </c>
      <c r="I490" s="660">
        <v>912662280</v>
      </c>
      <c r="J490" s="660">
        <v>912662280</v>
      </c>
      <c r="K490" s="660">
        <v>912662280</v>
      </c>
      <c r="L490" s="660">
        <v>912662280</v>
      </c>
      <c r="M490" s="657">
        <v>469400964</v>
      </c>
      <c r="N490" s="658"/>
      <c r="O490" s="658"/>
      <c r="P490" s="658"/>
      <c r="Q490" s="659"/>
      <c r="R490" s="661">
        <f>M490-H490</f>
        <v>33420000</v>
      </c>
      <c r="S490" s="662"/>
      <c r="T490" s="662"/>
      <c r="U490" s="662"/>
      <c r="V490" s="662"/>
      <c r="W490" s="662"/>
      <c r="X490" s="663"/>
      <c r="Z490" s="189">
        <v>23600000</v>
      </c>
      <c r="AA490" s="189"/>
      <c r="AB490" s="189"/>
      <c r="AC490" s="189"/>
    </row>
    <row r="491" spans="2:30" s="23" customFormat="1" ht="19.5" customHeight="1">
      <c r="C491" s="569" t="s">
        <v>209</v>
      </c>
      <c r="D491" s="569"/>
      <c r="E491" s="569"/>
      <c r="F491" s="569"/>
      <c r="G491" s="569"/>
      <c r="H491" s="660">
        <v>3957949100</v>
      </c>
      <c r="I491" s="660">
        <v>3302919681</v>
      </c>
      <c r="J491" s="660">
        <v>3302919681</v>
      </c>
      <c r="K491" s="660">
        <v>3302919681</v>
      </c>
      <c r="L491" s="660">
        <v>3302919681</v>
      </c>
      <c r="M491" s="657">
        <v>4675315600</v>
      </c>
      <c r="N491" s="658"/>
      <c r="O491" s="658"/>
      <c r="P491" s="658"/>
      <c r="Q491" s="659"/>
      <c r="R491" s="661">
        <f t="shared" ref="R491:R492" si="19">M491-H491</f>
        <v>717366500</v>
      </c>
      <c r="S491" s="662"/>
      <c r="T491" s="662"/>
      <c r="U491" s="662"/>
      <c r="V491" s="662"/>
      <c r="W491" s="662"/>
      <c r="X491" s="663"/>
      <c r="Z491" s="189">
        <v>406948000</v>
      </c>
      <c r="AA491" s="189"/>
      <c r="AB491" s="189"/>
      <c r="AC491" s="189"/>
    </row>
    <row r="492" spans="2:30" s="23" customFormat="1" ht="19.5" customHeight="1">
      <c r="C492" s="569" t="s">
        <v>210</v>
      </c>
      <c r="D492" s="569"/>
      <c r="E492" s="569"/>
      <c r="F492" s="569"/>
      <c r="G492" s="569"/>
      <c r="H492" s="660">
        <v>4097444289</v>
      </c>
      <c r="I492" s="660">
        <v>5647562954</v>
      </c>
      <c r="J492" s="660">
        <v>5647562954</v>
      </c>
      <c r="K492" s="660">
        <v>5647562954</v>
      </c>
      <c r="L492" s="660">
        <v>5647562954</v>
      </c>
      <c r="M492" s="657">
        <v>4143180289</v>
      </c>
      <c r="N492" s="658"/>
      <c r="O492" s="658"/>
      <c r="P492" s="658"/>
      <c r="Q492" s="659"/>
      <c r="R492" s="661">
        <f t="shared" si="19"/>
        <v>45736000</v>
      </c>
      <c r="S492" s="662"/>
      <c r="T492" s="662"/>
      <c r="U492" s="662"/>
      <c r="V492" s="662"/>
      <c r="W492" s="662"/>
      <c r="X492" s="663"/>
      <c r="Z492" s="189">
        <v>364204500</v>
      </c>
      <c r="AA492" s="189"/>
      <c r="AB492" s="189"/>
      <c r="AC492" s="189"/>
    </row>
    <row r="493" spans="2:30" s="23" customFormat="1" ht="19.5" customHeight="1">
      <c r="C493" s="569" t="s">
        <v>211</v>
      </c>
      <c r="D493" s="569"/>
      <c r="E493" s="569"/>
      <c r="F493" s="569"/>
      <c r="G493" s="569"/>
      <c r="H493" s="652">
        <v>44270410</v>
      </c>
      <c r="I493" s="652"/>
      <c r="J493" s="652"/>
      <c r="K493" s="652"/>
      <c r="L493" s="652"/>
      <c r="M493" s="657">
        <f>H493+Z493</f>
        <v>48628410</v>
      </c>
      <c r="N493" s="658"/>
      <c r="O493" s="658"/>
      <c r="P493" s="658"/>
      <c r="Q493" s="659"/>
      <c r="R493" s="661">
        <f t="shared" ref="R493:R495" si="20">M493-H493</f>
        <v>4358000</v>
      </c>
      <c r="S493" s="662"/>
      <c r="T493" s="662"/>
      <c r="U493" s="662"/>
      <c r="V493" s="662"/>
      <c r="W493" s="662"/>
      <c r="X493" s="663"/>
      <c r="Z493" s="196">
        <f>48628410-44270410</f>
        <v>4358000</v>
      </c>
    </row>
    <row r="494" spans="2:30" s="23" customFormat="1" ht="30.75" customHeight="1">
      <c r="C494" s="569" t="s">
        <v>212</v>
      </c>
      <c r="D494" s="569"/>
      <c r="E494" s="569"/>
      <c r="F494" s="569"/>
      <c r="G494" s="569"/>
      <c r="H494" s="652">
        <v>0</v>
      </c>
      <c r="I494" s="652"/>
      <c r="J494" s="652"/>
      <c r="K494" s="652"/>
      <c r="L494" s="652"/>
      <c r="M494" s="570">
        <v>0</v>
      </c>
      <c r="N494" s="570"/>
      <c r="O494" s="570"/>
      <c r="P494" s="570"/>
      <c r="Q494" s="570"/>
      <c r="R494" s="661">
        <f t="shared" si="20"/>
        <v>0</v>
      </c>
      <c r="S494" s="662"/>
      <c r="T494" s="662"/>
      <c r="U494" s="662"/>
      <c r="V494" s="662"/>
      <c r="W494" s="662"/>
      <c r="X494" s="663"/>
      <c r="Z494" s="196">
        <v>469400964</v>
      </c>
      <c r="AA494" s="23" t="s">
        <v>570</v>
      </c>
      <c r="AB494" s="194">
        <f>M490-Z494</f>
        <v>0</v>
      </c>
    </row>
    <row r="495" spans="2:30" s="23" customFormat="1" ht="19.5" customHeight="1">
      <c r="C495" s="569" t="s">
        <v>213</v>
      </c>
      <c r="D495" s="569"/>
      <c r="E495" s="569"/>
      <c r="F495" s="569"/>
      <c r="G495" s="569"/>
      <c r="H495" s="652">
        <v>0</v>
      </c>
      <c r="I495" s="652"/>
      <c r="J495" s="652"/>
      <c r="K495" s="652"/>
      <c r="L495" s="652"/>
      <c r="M495" s="570">
        <v>0</v>
      </c>
      <c r="N495" s="570"/>
      <c r="O495" s="570"/>
      <c r="P495" s="570"/>
      <c r="Q495" s="570"/>
      <c r="R495" s="661">
        <f t="shared" si="20"/>
        <v>0</v>
      </c>
      <c r="S495" s="662"/>
      <c r="T495" s="662"/>
      <c r="U495" s="662"/>
      <c r="V495" s="662"/>
      <c r="W495" s="662"/>
      <c r="X495" s="663"/>
      <c r="Z495" s="196">
        <v>4555315600</v>
      </c>
      <c r="AA495" s="23" t="s">
        <v>570</v>
      </c>
      <c r="AB495" s="194">
        <f>M491-Z495</f>
        <v>120000000</v>
      </c>
    </row>
    <row r="496" spans="2:30" s="23" customFormat="1" ht="19.5" customHeight="1">
      <c r="C496" s="569" t="s">
        <v>214</v>
      </c>
      <c r="D496" s="569"/>
      <c r="E496" s="569"/>
      <c r="F496" s="569"/>
      <c r="G496" s="569"/>
      <c r="H496" s="652">
        <f>H489+H490+H491+H492+H493+H494+H495</f>
        <v>8535644763</v>
      </c>
      <c r="I496" s="652"/>
      <c r="J496" s="652"/>
      <c r="K496" s="652"/>
      <c r="L496" s="652"/>
      <c r="M496" s="570">
        <f>SUM(M489:Q495)</f>
        <v>9336525263</v>
      </c>
      <c r="N496" s="570">
        <v>138999500</v>
      </c>
      <c r="O496" s="570">
        <v>138999500</v>
      </c>
      <c r="P496" s="570">
        <v>138999500</v>
      </c>
      <c r="Q496" s="570">
        <v>138999500</v>
      </c>
      <c r="R496" s="654">
        <f>M496-H496</f>
        <v>800880500</v>
      </c>
      <c r="S496" s="655"/>
      <c r="T496" s="655"/>
      <c r="U496" s="655"/>
      <c r="V496" s="655"/>
      <c r="W496" s="655"/>
      <c r="X496" s="656"/>
      <c r="Z496" s="196">
        <v>4263180289</v>
      </c>
      <c r="AB496" s="194">
        <f>M492-Z496</f>
        <v>-120000000</v>
      </c>
      <c r="AC496" s="34"/>
      <c r="AD496" s="34"/>
    </row>
    <row r="497" spans="3:30" s="23" customFormat="1" ht="10.5" customHeight="1">
      <c r="C497" s="3"/>
      <c r="D497" s="3"/>
      <c r="E497" s="3"/>
      <c r="F497" s="3"/>
      <c r="G497" s="3"/>
      <c r="H497" s="35"/>
      <c r="I497" s="35"/>
      <c r="J497" s="35"/>
      <c r="K497" s="35"/>
      <c r="L497" s="35"/>
      <c r="M497" s="33"/>
      <c r="N497" s="33"/>
      <c r="O497" s="33"/>
      <c r="P497" s="33"/>
      <c r="Q497" s="33"/>
      <c r="R497" s="36"/>
      <c r="S497" s="37"/>
      <c r="T497" s="37"/>
      <c r="U497" s="37"/>
      <c r="V497" s="37"/>
      <c r="W497" s="37"/>
      <c r="X497" s="37"/>
      <c r="Z497" s="197">
        <v>48628410</v>
      </c>
      <c r="AA497" s="34"/>
      <c r="AB497" s="34"/>
      <c r="AC497" s="34"/>
      <c r="AD497" s="34"/>
    </row>
    <row r="498" spans="3:30" s="23" customFormat="1" ht="19.5" customHeight="1">
      <c r="C498" s="4" t="s">
        <v>272</v>
      </c>
      <c r="D498" s="3"/>
      <c r="E498" s="3"/>
      <c r="F498" s="3"/>
      <c r="G498" s="3"/>
      <c r="H498" s="35"/>
      <c r="I498" s="35"/>
      <c r="J498" s="35"/>
      <c r="K498" s="35"/>
      <c r="L498" s="35"/>
      <c r="M498" s="33"/>
      <c r="N498" s="33"/>
      <c r="O498" s="33"/>
      <c r="P498" s="33"/>
      <c r="Q498" s="33"/>
      <c r="R498" s="36"/>
      <c r="S498" s="37"/>
      <c r="T498" s="37"/>
      <c r="U498" s="37"/>
      <c r="V498" s="37"/>
      <c r="W498" s="37"/>
      <c r="X498" s="37"/>
      <c r="Z498" s="34">
        <f>SUM(Z494:Z497)</f>
        <v>9336525263</v>
      </c>
      <c r="AA498" s="34"/>
      <c r="AB498" s="34"/>
      <c r="AC498" s="34"/>
      <c r="AD498" s="34"/>
    </row>
    <row r="499" spans="3:30" s="23" customFormat="1" ht="19.5" customHeight="1">
      <c r="C499" s="4" t="s">
        <v>1611</v>
      </c>
      <c r="D499" s="3"/>
      <c r="E499" s="3"/>
      <c r="F499" s="3"/>
      <c r="G499" s="3"/>
      <c r="H499" s="35"/>
      <c r="I499" s="35"/>
      <c r="J499" s="35"/>
      <c r="K499" s="35"/>
      <c r="L499" s="35"/>
      <c r="M499" s="33"/>
      <c r="N499" s="33"/>
      <c r="O499" s="33"/>
      <c r="P499" s="33"/>
      <c r="Q499" s="33"/>
      <c r="R499" s="36"/>
      <c r="S499" s="37"/>
      <c r="T499" s="37"/>
      <c r="U499" s="37"/>
      <c r="V499" s="37"/>
      <c r="W499" s="37"/>
      <c r="X499" s="37"/>
      <c r="Z499" s="198">
        <v>9334755263</v>
      </c>
      <c r="AA499" s="4"/>
      <c r="AB499" s="4"/>
      <c r="AC499" s="34"/>
      <c r="AD499" s="34"/>
    </row>
    <row r="500" spans="3:30" s="23" customFormat="1" ht="19.5" customHeight="1">
      <c r="C500" s="4" t="s">
        <v>1688</v>
      </c>
      <c r="D500" s="3"/>
      <c r="E500" s="3"/>
      <c r="F500" s="3"/>
      <c r="G500" s="3"/>
      <c r="H500" s="35"/>
      <c r="I500" s="35"/>
      <c r="J500" s="35"/>
      <c r="K500" s="35"/>
      <c r="L500" s="35"/>
      <c r="M500" s="33"/>
      <c r="N500" s="33"/>
      <c r="O500" s="33"/>
      <c r="P500" s="33"/>
      <c r="Q500" s="33"/>
      <c r="R500" s="36"/>
      <c r="S500" s="37"/>
      <c r="T500" s="37"/>
      <c r="U500" s="37"/>
      <c r="V500" s="37"/>
      <c r="W500" s="37"/>
      <c r="X500" s="37"/>
      <c r="Z500" s="198"/>
      <c r="AA500" s="4"/>
      <c r="AB500" s="4"/>
      <c r="AC500" s="34"/>
      <c r="AD500" s="34"/>
    </row>
    <row r="501" spans="3:30" s="23" customFormat="1" ht="19.5" customHeight="1">
      <c r="C501" s="4" t="s">
        <v>1689</v>
      </c>
      <c r="D501" s="3"/>
      <c r="E501" s="3"/>
      <c r="F501" s="3"/>
      <c r="G501" s="3"/>
      <c r="H501" s="35"/>
      <c r="I501" s="35"/>
      <c r="J501" s="35"/>
      <c r="K501" s="35"/>
      <c r="L501" s="35"/>
      <c r="M501" s="33"/>
      <c r="N501" s="33"/>
      <c r="O501" s="33"/>
      <c r="P501" s="33"/>
      <c r="Q501" s="33"/>
      <c r="R501" s="36"/>
      <c r="S501" s="37"/>
      <c r="T501" s="37"/>
      <c r="U501" s="37"/>
      <c r="V501" s="37"/>
      <c r="W501" s="37"/>
      <c r="X501" s="37"/>
      <c r="Z501" s="198"/>
      <c r="AA501" s="4"/>
      <c r="AB501" s="4"/>
      <c r="AC501" s="34"/>
      <c r="AD501" s="34"/>
    </row>
    <row r="502" spans="3:30" s="23" customFormat="1" ht="19.5" customHeight="1">
      <c r="C502" s="4" t="s">
        <v>1690</v>
      </c>
      <c r="D502" s="4" t="s">
        <v>208</v>
      </c>
      <c r="E502" s="3"/>
      <c r="F502" s="3"/>
      <c r="G502" s="3"/>
      <c r="H502" s="35"/>
      <c r="I502" s="35"/>
      <c r="J502" s="35"/>
      <c r="K502" s="35"/>
      <c r="L502" s="35"/>
      <c r="M502" s="33"/>
      <c r="N502" s="33"/>
      <c r="O502" s="33"/>
      <c r="P502" s="33"/>
      <c r="Q502" s="33"/>
      <c r="R502" s="36"/>
      <c r="S502" s="37"/>
      <c r="T502" s="37"/>
      <c r="U502" s="37"/>
      <c r="V502" s="37"/>
      <c r="W502" s="37"/>
      <c r="X502" s="37"/>
      <c r="Z502" s="198"/>
      <c r="AA502" s="4"/>
      <c r="AB502" s="4"/>
      <c r="AC502" s="34"/>
      <c r="AD502" s="34"/>
    </row>
    <row r="503" spans="3:30" s="23" customFormat="1" ht="19.5" customHeight="1">
      <c r="C503" s="534" t="s">
        <v>479</v>
      </c>
      <c r="D503" s="4" t="s">
        <v>1691</v>
      </c>
      <c r="E503" s="3"/>
      <c r="F503" s="3"/>
      <c r="G503" s="3"/>
      <c r="H503" s="35"/>
      <c r="I503" s="35"/>
      <c r="J503" s="35"/>
      <c r="K503" s="35"/>
      <c r="L503" s="35"/>
      <c r="M503" s="33"/>
      <c r="N503" s="33"/>
      <c r="O503" s="33"/>
      <c r="P503" s="33"/>
      <c r="Q503" s="33"/>
      <c r="R503" s="36"/>
      <c r="S503" s="37"/>
      <c r="T503" s="37"/>
      <c r="U503" s="37"/>
      <c r="V503" s="37"/>
      <c r="W503" s="37"/>
      <c r="X503" s="37"/>
      <c r="Z503" s="199">
        <f>Z498-Z499</f>
        <v>1770000</v>
      </c>
      <c r="AA503" s="16"/>
      <c r="AB503" s="199">
        <f>SUM(AB494:AB497)</f>
        <v>0</v>
      </c>
      <c r="AC503" s="34"/>
      <c r="AD503" s="34"/>
    </row>
    <row r="504" spans="3:30" s="23" customFormat="1" ht="19.5" customHeight="1">
      <c r="C504" s="4"/>
      <c r="D504" s="4" t="s">
        <v>1692</v>
      </c>
      <c r="E504" s="3"/>
      <c r="F504" s="3"/>
      <c r="G504" s="3"/>
      <c r="H504" s="35"/>
      <c r="I504" s="35"/>
      <c r="J504" s="35"/>
      <c r="K504" s="35"/>
      <c r="L504" s="35"/>
      <c r="M504" s="33"/>
      <c r="N504" s="33"/>
      <c r="O504" s="33"/>
      <c r="P504" s="33"/>
      <c r="Q504" s="33"/>
      <c r="R504" s="36"/>
      <c r="S504" s="37"/>
      <c r="T504" s="37"/>
      <c r="U504" s="37"/>
      <c r="V504" s="37"/>
      <c r="W504" s="37"/>
      <c r="X504" s="37"/>
      <c r="Z504" s="34"/>
      <c r="AA504" s="34"/>
      <c r="AB504" s="34"/>
      <c r="AC504" s="34"/>
      <c r="AD504" s="34"/>
    </row>
    <row r="505" spans="3:30" s="23" customFormat="1" ht="19.5" customHeight="1">
      <c r="C505" s="534" t="s">
        <v>53</v>
      </c>
      <c r="D505" s="16" t="s">
        <v>1703</v>
      </c>
      <c r="E505" s="4"/>
      <c r="F505" s="3"/>
      <c r="G505" s="3"/>
      <c r="H505" s="35"/>
      <c r="I505" s="35"/>
      <c r="J505" s="35"/>
      <c r="K505" s="35"/>
      <c r="L505" s="35"/>
      <c r="M505" s="33"/>
      <c r="N505" s="201"/>
      <c r="O505" s="305"/>
      <c r="P505" s="305"/>
      <c r="Q505" s="305"/>
      <c r="R505" s="305"/>
      <c r="S505" s="305"/>
      <c r="T505" s="305"/>
      <c r="U505" s="37"/>
      <c r="V505" s="37"/>
      <c r="W505" s="37"/>
      <c r="X505" s="37"/>
      <c r="Z505" s="34"/>
      <c r="AA505" s="34"/>
      <c r="AB505" s="34"/>
      <c r="AC505" s="34"/>
      <c r="AD505" s="34"/>
    </row>
    <row r="506" spans="3:30" s="23" customFormat="1" ht="19.5" customHeight="1">
      <c r="C506" s="4"/>
      <c r="D506" s="4" t="s">
        <v>1704</v>
      </c>
      <c r="E506" s="4"/>
      <c r="F506" s="3"/>
      <c r="G506" s="3"/>
      <c r="H506" s="35"/>
      <c r="I506" s="35"/>
      <c r="J506" s="35"/>
      <c r="K506" s="35"/>
      <c r="L506" s="35"/>
      <c r="M506" s="33"/>
      <c r="N506" s="201"/>
      <c r="O506" s="304"/>
      <c r="P506" s="304"/>
      <c r="Q506" s="304"/>
      <c r="R506" s="304"/>
      <c r="S506" s="304"/>
      <c r="T506" s="304"/>
      <c r="U506" s="37"/>
      <c r="V506" s="37"/>
      <c r="W506" s="37"/>
      <c r="X506" s="37"/>
      <c r="Z506" s="34"/>
      <c r="AA506" s="34"/>
      <c r="AB506" s="34"/>
      <c r="AC506" s="34"/>
      <c r="AD506" s="34"/>
    </row>
    <row r="507" spans="3:30" s="23" customFormat="1" ht="19.5" customHeight="1">
      <c r="C507" s="534" t="s">
        <v>53</v>
      </c>
      <c r="D507" s="16" t="s">
        <v>1694</v>
      </c>
      <c r="E507" s="4"/>
      <c r="F507" s="3"/>
      <c r="G507" s="3"/>
      <c r="H507" s="35"/>
      <c r="I507" s="35"/>
      <c r="J507" s="35"/>
      <c r="K507" s="35"/>
      <c r="L507" s="35"/>
      <c r="M507" s="33"/>
      <c r="N507" s="201"/>
      <c r="O507" s="304"/>
      <c r="P507" s="304"/>
      <c r="Q507" s="304"/>
      <c r="R507" s="304"/>
      <c r="S507" s="304"/>
      <c r="T507" s="304"/>
      <c r="U507" s="37"/>
      <c r="V507" s="37"/>
      <c r="W507" s="37"/>
      <c r="X507" s="37"/>
      <c r="Z507" s="34"/>
      <c r="AA507" s="34"/>
      <c r="AB507" s="34"/>
      <c r="AC507" s="34"/>
      <c r="AD507" s="34"/>
    </row>
    <row r="508" spans="3:30" s="23" customFormat="1" ht="19.5" customHeight="1">
      <c r="C508" s="4"/>
      <c r="D508" s="4" t="s">
        <v>1693</v>
      </c>
      <c r="E508" s="4"/>
      <c r="F508" s="3"/>
      <c r="G508" s="3"/>
      <c r="H508" s="35"/>
      <c r="I508" s="35"/>
      <c r="J508" s="35"/>
      <c r="K508" s="35"/>
      <c r="L508" s="35"/>
      <c r="M508" s="33"/>
      <c r="N508" s="33"/>
      <c r="O508" s="203"/>
      <c r="P508" s="203"/>
      <c r="Q508" s="203"/>
      <c r="R508" s="203"/>
      <c r="S508" s="203"/>
      <c r="T508" s="203"/>
      <c r="U508" s="37"/>
      <c r="V508" s="37"/>
      <c r="W508" s="37"/>
      <c r="X508" s="37"/>
      <c r="Z508" s="34"/>
      <c r="AA508" s="34"/>
      <c r="AB508" s="34"/>
      <c r="AC508" s="34"/>
      <c r="AD508" s="34"/>
    </row>
    <row r="509" spans="3:30" s="23" customFormat="1" ht="19.5" customHeight="1">
      <c r="C509" s="534" t="s">
        <v>53</v>
      </c>
      <c r="D509" s="16" t="s">
        <v>1695</v>
      </c>
      <c r="E509" s="4"/>
      <c r="F509" s="3"/>
      <c r="G509" s="3"/>
      <c r="H509" s="35"/>
      <c r="I509" s="35"/>
      <c r="J509" s="35"/>
      <c r="K509" s="35"/>
      <c r="L509" s="35"/>
      <c r="M509" s="33"/>
      <c r="N509" s="33"/>
      <c r="O509" s="203"/>
      <c r="P509" s="203"/>
      <c r="Q509" s="203"/>
      <c r="R509" s="203"/>
      <c r="S509" s="203"/>
      <c r="T509" s="203"/>
      <c r="U509" s="37"/>
      <c r="V509" s="37"/>
      <c r="W509" s="37"/>
      <c r="X509" s="37"/>
      <c r="Z509" s="34"/>
      <c r="AA509" s="34"/>
      <c r="AB509" s="34"/>
      <c r="AC509" s="34"/>
      <c r="AD509" s="34"/>
    </row>
    <row r="510" spans="3:30" s="23" customFormat="1" ht="19.5" customHeight="1">
      <c r="C510" s="4"/>
      <c r="D510" s="4" t="s">
        <v>1693</v>
      </c>
      <c r="E510" s="4"/>
      <c r="F510" s="3"/>
      <c r="G510" s="3"/>
      <c r="H510" s="35"/>
      <c r="I510" s="35"/>
      <c r="J510" s="35"/>
      <c r="K510" s="35"/>
      <c r="L510" s="35"/>
      <c r="M510" s="33"/>
      <c r="N510" s="33"/>
      <c r="O510" s="203"/>
      <c r="P510" s="203"/>
      <c r="Q510" s="203"/>
      <c r="R510" s="203"/>
      <c r="S510" s="203"/>
      <c r="T510" s="203"/>
      <c r="U510" s="37"/>
      <c r="V510" s="37"/>
      <c r="W510" s="37"/>
      <c r="X510" s="37"/>
      <c r="Z510" s="34"/>
      <c r="AA510" s="34"/>
      <c r="AB510" s="34"/>
      <c r="AC510" s="34"/>
      <c r="AD510" s="34"/>
    </row>
    <row r="511" spans="3:30" s="23" customFormat="1" ht="19.5" customHeight="1">
      <c r="C511" s="534" t="s">
        <v>53</v>
      </c>
      <c r="D511" s="16" t="s">
        <v>1696</v>
      </c>
      <c r="E511" s="4"/>
      <c r="F511" s="3"/>
      <c r="G511" s="3"/>
      <c r="H511" s="35"/>
      <c r="I511" s="35"/>
      <c r="J511" s="35"/>
      <c r="K511" s="35"/>
      <c r="L511" s="35"/>
      <c r="M511" s="33"/>
      <c r="N511" s="33"/>
      <c r="O511" s="203"/>
      <c r="P511" s="203"/>
      <c r="Q511" s="203"/>
      <c r="R511" s="203"/>
      <c r="S511" s="203"/>
      <c r="T511" s="203"/>
      <c r="U511" s="37"/>
      <c r="V511" s="37"/>
      <c r="W511" s="37"/>
      <c r="X511" s="37"/>
      <c r="Z511" s="34"/>
      <c r="AA511" s="34"/>
      <c r="AB511" s="34"/>
      <c r="AC511" s="34"/>
      <c r="AD511" s="34"/>
    </row>
    <row r="512" spans="3:30" s="23" customFormat="1" ht="19.5" customHeight="1">
      <c r="C512" s="4"/>
      <c r="D512" s="4" t="s">
        <v>1693</v>
      </c>
      <c r="E512" s="4"/>
      <c r="F512" s="3"/>
      <c r="G512" s="3"/>
      <c r="H512" s="35"/>
      <c r="I512" s="35"/>
      <c r="J512" s="35"/>
      <c r="K512" s="35"/>
      <c r="L512" s="35"/>
      <c r="M512" s="33"/>
      <c r="N512" s="33"/>
      <c r="O512" s="203"/>
      <c r="P512" s="203"/>
      <c r="Q512" s="203"/>
      <c r="R512" s="203"/>
      <c r="S512" s="203"/>
      <c r="T512" s="203"/>
      <c r="U512" s="37"/>
      <c r="V512" s="37"/>
      <c r="W512" s="37"/>
      <c r="X512" s="37"/>
      <c r="Z512" s="34"/>
      <c r="AA512" s="34"/>
      <c r="AB512" s="34"/>
      <c r="AC512" s="34"/>
      <c r="AD512" s="34"/>
    </row>
    <row r="513" spans="3:30" s="23" customFormat="1" ht="19.5" customHeight="1">
      <c r="C513" s="534" t="s">
        <v>53</v>
      </c>
      <c r="D513" s="16" t="s">
        <v>1701</v>
      </c>
      <c r="E513" s="4"/>
      <c r="F513" s="3"/>
      <c r="G513" s="3"/>
      <c r="H513" s="35"/>
      <c r="I513" s="35"/>
      <c r="J513" s="35"/>
      <c r="K513" s="35"/>
      <c r="L513" s="35"/>
      <c r="M513" s="33"/>
      <c r="N513" s="33"/>
      <c r="O513" s="203"/>
      <c r="P513" s="203"/>
      <c r="Q513" s="203"/>
      <c r="R513" s="203"/>
      <c r="S513" s="203"/>
      <c r="T513" s="203"/>
      <c r="U513" s="37"/>
      <c r="V513" s="37"/>
      <c r="W513" s="37"/>
      <c r="X513" s="37"/>
      <c r="Z513" s="34"/>
      <c r="AA513" s="34"/>
      <c r="AB513" s="34"/>
      <c r="AC513" s="34"/>
      <c r="AD513" s="34"/>
    </row>
    <row r="514" spans="3:30" s="23" customFormat="1" ht="19.5" customHeight="1">
      <c r="C514" s="4"/>
      <c r="D514" s="4" t="s">
        <v>1702</v>
      </c>
      <c r="E514" s="4"/>
      <c r="F514" s="3"/>
      <c r="G514" s="3"/>
      <c r="H514" s="35"/>
      <c r="I514" s="35"/>
      <c r="J514" s="35"/>
      <c r="K514" s="35"/>
      <c r="L514" s="35"/>
      <c r="M514" s="33"/>
      <c r="N514" s="33"/>
      <c r="O514" s="203"/>
      <c r="P514" s="203"/>
      <c r="Q514" s="203"/>
      <c r="R514" s="203"/>
      <c r="S514" s="203"/>
      <c r="T514" s="203"/>
      <c r="U514" s="37"/>
      <c r="V514" s="37"/>
      <c r="W514" s="37"/>
      <c r="X514" s="37"/>
      <c r="Z514" s="34"/>
      <c r="AA514" s="34"/>
      <c r="AB514" s="34"/>
      <c r="AC514" s="34"/>
      <c r="AD514" s="34"/>
    </row>
    <row r="515" spans="3:30" s="23" customFormat="1" ht="19.5" customHeight="1">
      <c r="C515" s="534" t="s">
        <v>53</v>
      </c>
      <c r="D515" s="16" t="s">
        <v>1697</v>
      </c>
      <c r="E515" s="4"/>
      <c r="F515" s="3"/>
      <c r="G515" s="3"/>
      <c r="H515" s="35"/>
      <c r="I515" s="35"/>
      <c r="J515" s="35"/>
      <c r="K515" s="35"/>
      <c r="L515" s="35"/>
      <c r="M515" s="33"/>
      <c r="N515" s="33"/>
      <c r="O515" s="203"/>
      <c r="P515" s="203"/>
      <c r="Q515" s="203"/>
      <c r="R515" s="203"/>
      <c r="S515" s="203"/>
      <c r="T515" s="203"/>
      <c r="U515" s="37"/>
      <c r="V515" s="37"/>
      <c r="W515" s="37"/>
      <c r="X515" s="37"/>
      <c r="Z515" s="34"/>
      <c r="AA515" s="34"/>
      <c r="AB515" s="34"/>
      <c r="AC515" s="34"/>
      <c r="AD515" s="34"/>
    </row>
    <row r="516" spans="3:30" s="23" customFormat="1" ht="19.5" customHeight="1">
      <c r="C516" s="4"/>
      <c r="D516" s="4" t="s">
        <v>1692</v>
      </c>
      <c r="E516" s="4"/>
      <c r="F516" s="3"/>
      <c r="G516" s="3"/>
      <c r="H516" s="35"/>
      <c r="I516" s="35"/>
      <c r="J516" s="35"/>
      <c r="K516" s="35"/>
      <c r="L516" s="35"/>
      <c r="M516" s="33"/>
      <c r="N516" s="33"/>
      <c r="O516" s="203"/>
      <c r="P516" s="203"/>
      <c r="Q516" s="203"/>
      <c r="R516" s="203"/>
      <c r="S516" s="203"/>
      <c r="T516" s="203"/>
      <c r="U516" s="37"/>
      <c r="V516" s="37"/>
      <c r="W516" s="37"/>
      <c r="X516" s="37"/>
      <c r="Z516" s="34"/>
      <c r="AA516" s="34"/>
      <c r="AB516" s="34"/>
      <c r="AC516" s="34"/>
      <c r="AD516" s="34"/>
    </row>
    <row r="517" spans="3:30" s="23" customFormat="1" ht="19.5" customHeight="1">
      <c r="C517" s="534" t="s">
        <v>53</v>
      </c>
      <c r="D517" s="16" t="s">
        <v>1698</v>
      </c>
      <c r="E517" s="4"/>
      <c r="F517" s="3"/>
      <c r="G517" s="3"/>
      <c r="H517" s="35"/>
      <c r="I517" s="35"/>
      <c r="J517" s="35"/>
      <c r="K517" s="35"/>
      <c r="L517" s="35"/>
      <c r="M517" s="33"/>
      <c r="N517" s="33"/>
      <c r="O517" s="203"/>
      <c r="P517" s="203"/>
      <c r="Q517" s="203"/>
      <c r="R517" s="203"/>
      <c r="S517" s="203"/>
      <c r="T517" s="203"/>
      <c r="U517" s="37"/>
      <c r="V517" s="37"/>
      <c r="W517" s="37"/>
      <c r="X517" s="37"/>
      <c r="Z517" s="34"/>
      <c r="AA517" s="34"/>
      <c r="AB517" s="34"/>
      <c r="AC517" s="34"/>
      <c r="AD517" s="34"/>
    </row>
    <row r="518" spans="3:30" s="23" customFormat="1" ht="19.5" customHeight="1">
      <c r="C518" s="4"/>
      <c r="D518" s="4" t="s">
        <v>1699</v>
      </c>
      <c r="E518" s="4"/>
      <c r="F518" s="3"/>
      <c r="G518" s="3"/>
      <c r="H518" s="35"/>
      <c r="I518" s="35"/>
      <c r="J518" s="35"/>
      <c r="K518" s="35"/>
      <c r="L518" s="35"/>
      <c r="M518" s="33"/>
      <c r="N518" s="33"/>
      <c r="O518" s="203"/>
      <c r="P518" s="203"/>
      <c r="Q518" s="203"/>
      <c r="R518" s="203"/>
      <c r="S518" s="203"/>
      <c r="T518" s="203"/>
      <c r="U518" s="37"/>
      <c r="V518" s="37"/>
      <c r="W518" s="37"/>
      <c r="X518" s="37"/>
      <c r="Z518" s="34"/>
      <c r="AA518" s="34"/>
      <c r="AB518" s="34"/>
      <c r="AC518" s="34"/>
      <c r="AD518" s="34"/>
    </row>
    <row r="519" spans="3:30" s="23" customFormat="1" ht="19.5" customHeight="1">
      <c r="C519" s="534" t="s">
        <v>53</v>
      </c>
      <c r="D519" s="16" t="s">
        <v>1700</v>
      </c>
      <c r="E519" s="4"/>
      <c r="F519" s="3"/>
      <c r="G519" s="3"/>
      <c r="H519" s="35"/>
      <c r="I519" s="35"/>
      <c r="J519" s="35"/>
      <c r="K519" s="35"/>
      <c r="L519" s="35"/>
      <c r="M519" s="33"/>
      <c r="N519" s="33"/>
      <c r="O519" s="203"/>
      <c r="P519" s="203"/>
      <c r="Q519" s="203"/>
      <c r="R519" s="203"/>
      <c r="S519" s="203"/>
      <c r="T519" s="203"/>
      <c r="U519" s="37"/>
      <c r="V519" s="37"/>
      <c r="W519" s="37"/>
      <c r="X519" s="37"/>
      <c r="Z519" s="34"/>
      <c r="AA519" s="34"/>
      <c r="AB519" s="34"/>
      <c r="AC519" s="34"/>
      <c r="AD519" s="34"/>
    </row>
    <row r="520" spans="3:30" s="23" customFormat="1" ht="19.5" customHeight="1">
      <c r="C520" s="4"/>
      <c r="D520" s="4" t="s">
        <v>1699</v>
      </c>
      <c r="E520" s="4"/>
      <c r="F520" s="3"/>
      <c r="G520" s="3"/>
      <c r="H520" s="35"/>
      <c r="I520" s="35"/>
      <c r="J520" s="35"/>
      <c r="K520" s="35"/>
      <c r="L520" s="35"/>
      <c r="M520" s="33"/>
      <c r="N520" s="33"/>
      <c r="O520" s="203"/>
      <c r="P520" s="203"/>
      <c r="Q520" s="203"/>
      <c r="R520" s="203"/>
      <c r="S520" s="203"/>
      <c r="T520" s="203"/>
      <c r="U520" s="37"/>
      <c r="V520" s="37"/>
      <c r="W520" s="37"/>
      <c r="X520" s="37"/>
      <c r="Z520" s="34"/>
      <c r="AA520" s="34"/>
      <c r="AB520" s="34"/>
      <c r="AC520" s="34"/>
      <c r="AD520" s="34"/>
    </row>
    <row r="521" spans="3:30" s="23" customFormat="1" ht="19.5" customHeight="1">
      <c r="C521" s="534" t="s">
        <v>53</v>
      </c>
      <c r="D521" s="16" t="s">
        <v>1705</v>
      </c>
      <c r="E521" s="4"/>
      <c r="F521" s="3"/>
      <c r="G521" s="3"/>
      <c r="H521" s="35"/>
      <c r="I521" s="35"/>
      <c r="J521" s="35"/>
      <c r="K521" s="35"/>
      <c r="L521" s="35"/>
      <c r="M521" s="33"/>
      <c r="N521" s="33"/>
      <c r="O521" s="203"/>
      <c r="P521" s="203"/>
      <c r="Q521" s="203"/>
      <c r="R521" s="203"/>
      <c r="S521" s="203"/>
      <c r="T521" s="203"/>
      <c r="U521" s="37"/>
      <c r="V521" s="37"/>
      <c r="W521" s="37"/>
      <c r="X521" s="37"/>
      <c r="Z521" s="34"/>
      <c r="AA521" s="34"/>
      <c r="AB521" s="34"/>
      <c r="AC521" s="34"/>
      <c r="AD521" s="34"/>
    </row>
    <row r="522" spans="3:30" s="23" customFormat="1" ht="19.5" customHeight="1">
      <c r="C522" s="4"/>
      <c r="D522" s="4" t="s">
        <v>1706</v>
      </c>
      <c r="E522" s="4"/>
      <c r="F522" s="3"/>
      <c r="G522" s="3"/>
      <c r="H522" s="35"/>
      <c r="I522" s="35"/>
      <c r="J522" s="35"/>
      <c r="K522" s="35"/>
      <c r="L522" s="35"/>
      <c r="M522" s="33"/>
      <c r="N522" s="33"/>
      <c r="O522" s="203"/>
      <c r="P522" s="203"/>
      <c r="Q522" s="203"/>
      <c r="R522" s="203"/>
      <c r="S522" s="203"/>
      <c r="T522" s="203"/>
      <c r="U522" s="37"/>
      <c r="V522" s="37"/>
      <c r="W522" s="37"/>
      <c r="X522" s="37"/>
      <c r="Z522" s="34"/>
      <c r="AA522" s="34"/>
      <c r="AB522" s="34"/>
      <c r="AC522" s="34"/>
      <c r="AD522" s="34"/>
    </row>
    <row r="523" spans="3:30" s="23" customFormat="1" ht="19.5" customHeight="1">
      <c r="C523" s="4" t="s">
        <v>52</v>
      </c>
      <c r="D523" s="4" t="s">
        <v>209</v>
      </c>
      <c r="E523" s="4"/>
      <c r="F523" s="3"/>
      <c r="G523" s="3"/>
      <c r="H523" s="35"/>
      <c r="I523" s="35"/>
      <c r="J523" s="35"/>
      <c r="K523" s="35"/>
      <c r="L523" s="35"/>
      <c r="M523" s="33"/>
      <c r="N523" s="33"/>
      <c r="O523" s="203"/>
      <c r="P523" s="203"/>
      <c r="Q523" s="203"/>
      <c r="R523" s="203"/>
      <c r="S523" s="203"/>
      <c r="T523" s="203"/>
      <c r="U523" s="37"/>
      <c r="V523" s="37"/>
      <c r="W523" s="37"/>
      <c r="X523" s="37"/>
      <c r="Z523" s="34"/>
      <c r="AA523" s="34"/>
      <c r="AB523" s="34"/>
      <c r="AC523" s="34"/>
      <c r="AD523" s="34"/>
    </row>
    <row r="524" spans="3:30" s="23" customFormat="1" ht="19.5" customHeight="1">
      <c r="C524" s="534" t="s">
        <v>53</v>
      </c>
      <c r="D524" s="16" t="s">
        <v>1707</v>
      </c>
      <c r="E524" s="4"/>
      <c r="F524" s="3"/>
      <c r="G524" s="3"/>
      <c r="H524" s="35"/>
      <c r="I524" s="35"/>
      <c r="J524" s="35"/>
      <c r="K524" s="35"/>
      <c r="L524" s="35"/>
      <c r="M524" s="33"/>
      <c r="N524" s="33"/>
      <c r="O524" s="203"/>
      <c r="P524" s="203"/>
      <c r="Q524" s="203"/>
      <c r="R524" s="203"/>
      <c r="S524" s="203"/>
      <c r="T524" s="203"/>
      <c r="U524" s="37"/>
      <c r="V524" s="37"/>
      <c r="W524" s="37"/>
      <c r="X524" s="37"/>
      <c r="Z524" s="34"/>
      <c r="AA524" s="34"/>
      <c r="AB524" s="34"/>
      <c r="AC524" s="34"/>
      <c r="AD524" s="34"/>
    </row>
    <row r="525" spans="3:30" s="23" customFormat="1" ht="19.5" customHeight="1">
      <c r="C525" s="4"/>
      <c r="D525" s="4" t="s">
        <v>1708</v>
      </c>
      <c r="E525" s="4"/>
      <c r="F525" s="3"/>
      <c r="G525" s="3"/>
      <c r="H525" s="35"/>
      <c r="I525" s="35"/>
      <c r="J525" s="35"/>
      <c r="K525" s="35"/>
      <c r="L525" s="35"/>
      <c r="M525" s="33"/>
      <c r="N525" s="33"/>
      <c r="O525" s="203"/>
      <c r="P525" s="203"/>
      <c r="Q525" s="203"/>
      <c r="R525" s="203"/>
      <c r="S525" s="203"/>
      <c r="T525" s="203"/>
      <c r="U525" s="37"/>
      <c r="V525" s="37"/>
      <c r="W525" s="37"/>
      <c r="X525" s="37"/>
      <c r="Z525" s="34"/>
      <c r="AA525" s="34"/>
      <c r="AB525" s="34"/>
      <c r="AC525" s="34"/>
      <c r="AD525" s="34"/>
    </row>
    <row r="526" spans="3:30" s="23" customFormat="1" ht="19.5" customHeight="1">
      <c r="C526" s="534" t="s">
        <v>53</v>
      </c>
      <c r="D526" s="16" t="s">
        <v>1709</v>
      </c>
      <c r="E526" s="4"/>
      <c r="F526" s="3"/>
      <c r="G526" s="3"/>
      <c r="H526" s="35"/>
      <c r="I526" s="35"/>
      <c r="J526" s="35"/>
      <c r="K526" s="35"/>
      <c r="L526" s="35"/>
      <c r="M526" s="33"/>
      <c r="N526" s="33"/>
      <c r="O526" s="203"/>
      <c r="P526" s="203"/>
      <c r="Q526" s="203"/>
      <c r="R526" s="203"/>
      <c r="S526" s="203"/>
      <c r="T526" s="203"/>
      <c r="U526" s="37"/>
      <c r="V526" s="37"/>
      <c r="W526" s="37"/>
      <c r="X526" s="37"/>
      <c r="Z526" s="34"/>
      <c r="AA526" s="34"/>
      <c r="AB526" s="34"/>
      <c r="AC526" s="34"/>
      <c r="AD526" s="34"/>
    </row>
    <row r="527" spans="3:30" s="23" customFormat="1" ht="19.5" customHeight="1">
      <c r="C527" s="4"/>
      <c r="D527" s="4" t="s">
        <v>1710</v>
      </c>
      <c r="E527" s="4"/>
      <c r="F527" s="3"/>
      <c r="G527" s="3"/>
      <c r="H527" s="35"/>
      <c r="I527" s="35"/>
      <c r="J527" s="35"/>
      <c r="K527" s="35"/>
      <c r="L527" s="35"/>
      <c r="M527" s="33"/>
      <c r="N527" s="33"/>
      <c r="O527" s="203"/>
      <c r="P527" s="203"/>
      <c r="Q527" s="203"/>
      <c r="R527" s="203"/>
      <c r="S527" s="203"/>
      <c r="T527" s="203"/>
      <c r="U527" s="37"/>
      <c r="V527" s="37"/>
      <c r="W527" s="37"/>
      <c r="X527" s="37"/>
      <c r="Z527" s="34"/>
      <c r="AA527" s="34"/>
      <c r="AB527" s="34"/>
      <c r="AC527" s="34"/>
      <c r="AD527" s="34"/>
    </row>
    <row r="528" spans="3:30" s="23" customFormat="1" ht="19.5" customHeight="1">
      <c r="C528" s="534" t="s">
        <v>53</v>
      </c>
      <c r="D528" s="16" t="s">
        <v>1711</v>
      </c>
      <c r="E528" s="4"/>
      <c r="F528" s="3"/>
      <c r="G528" s="3"/>
      <c r="H528" s="35"/>
      <c r="I528" s="35"/>
      <c r="J528" s="35"/>
      <c r="K528" s="35"/>
      <c r="L528" s="35"/>
      <c r="M528" s="33"/>
      <c r="N528" s="33"/>
      <c r="O528" s="203"/>
      <c r="P528" s="203"/>
      <c r="Q528" s="203"/>
      <c r="R528" s="203"/>
      <c r="S528" s="203"/>
      <c r="T528" s="203"/>
      <c r="U528" s="37"/>
      <c r="V528" s="37"/>
      <c r="W528" s="37"/>
      <c r="X528" s="37"/>
      <c r="Z528" s="34"/>
      <c r="AA528" s="34"/>
      <c r="AB528" s="34"/>
      <c r="AC528" s="34"/>
      <c r="AD528" s="34"/>
    </row>
    <row r="529" spans="2:30" s="23" customFormat="1" ht="19.5" customHeight="1">
      <c r="C529" s="4"/>
      <c r="D529" s="4" t="s">
        <v>1716</v>
      </c>
      <c r="E529" s="4"/>
      <c r="F529" s="3"/>
      <c r="G529" s="3"/>
      <c r="H529" s="35"/>
      <c r="I529" s="35"/>
      <c r="J529" s="35"/>
      <c r="K529" s="35"/>
      <c r="L529" s="35"/>
      <c r="M529" s="33"/>
      <c r="N529" s="33"/>
      <c r="O529" s="203"/>
      <c r="P529" s="203"/>
      <c r="Q529" s="203"/>
      <c r="R529" s="203"/>
      <c r="S529" s="203"/>
      <c r="T529" s="203"/>
      <c r="U529" s="37"/>
      <c r="V529" s="37"/>
      <c r="W529" s="37"/>
      <c r="X529" s="37"/>
      <c r="Z529" s="34"/>
      <c r="AA529" s="34"/>
      <c r="AB529" s="34"/>
      <c r="AC529" s="34"/>
      <c r="AD529" s="34"/>
    </row>
    <row r="530" spans="2:30" s="23" customFormat="1" ht="19.5" customHeight="1">
      <c r="C530" s="4"/>
      <c r="D530" s="4" t="s">
        <v>1717</v>
      </c>
      <c r="E530" s="4"/>
      <c r="F530" s="3"/>
      <c r="G530" s="3"/>
      <c r="H530" s="35"/>
      <c r="I530" s="35"/>
      <c r="J530" s="35"/>
      <c r="K530" s="35"/>
      <c r="L530" s="35"/>
      <c r="M530" s="33"/>
      <c r="N530" s="33"/>
      <c r="O530" s="203"/>
      <c r="P530" s="203"/>
      <c r="Q530" s="203"/>
      <c r="R530" s="203"/>
      <c r="S530" s="203"/>
      <c r="T530" s="203"/>
      <c r="U530" s="37"/>
      <c r="V530" s="37"/>
      <c r="W530" s="37"/>
      <c r="X530" s="37"/>
      <c r="Z530" s="34"/>
      <c r="AA530" s="34"/>
      <c r="AB530" s="34"/>
      <c r="AC530" s="34"/>
      <c r="AD530" s="34"/>
    </row>
    <row r="531" spans="2:30" s="23" customFormat="1" ht="19.5" customHeight="1">
      <c r="C531" s="534" t="s">
        <v>53</v>
      </c>
      <c r="D531" s="16" t="s">
        <v>1712</v>
      </c>
      <c r="E531" s="4"/>
      <c r="F531" s="3"/>
      <c r="G531" s="3"/>
      <c r="H531" s="35"/>
      <c r="I531" s="35"/>
      <c r="J531" s="35"/>
      <c r="K531" s="35"/>
      <c r="L531" s="35"/>
      <c r="M531" s="33"/>
      <c r="N531" s="33"/>
      <c r="O531" s="203"/>
      <c r="P531" s="203"/>
      <c r="Q531" s="203"/>
      <c r="R531" s="203"/>
      <c r="S531" s="203"/>
      <c r="T531" s="203"/>
      <c r="U531" s="37"/>
      <c r="V531" s="37"/>
      <c r="W531" s="37"/>
      <c r="X531" s="37"/>
      <c r="Z531" s="34"/>
      <c r="AA531" s="34"/>
      <c r="AB531" s="34"/>
      <c r="AC531" s="34"/>
      <c r="AD531" s="34"/>
    </row>
    <row r="532" spans="2:30" s="23" customFormat="1" ht="19.5" customHeight="1">
      <c r="C532" s="4"/>
      <c r="D532" s="4" t="s">
        <v>1713</v>
      </c>
      <c r="E532" s="4"/>
      <c r="F532" s="3"/>
      <c r="G532" s="3"/>
      <c r="H532" s="35"/>
      <c r="I532" s="35"/>
      <c r="J532" s="35"/>
      <c r="K532" s="35"/>
      <c r="L532" s="35"/>
      <c r="M532" s="33"/>
      <c r="N532" s="33"/>
      <c r="O532" s="203"/>
      <c r="P532" s="203"/>
      <c r="Q532" s="203"/>
      <c r="R532" s="203"/>
      <c r="S532" s="203"/>
      <c r="T532" s="203"/>
      <c r="U532" s="37"/>
      <c r="V532" s="37"/>
      <c r="W532" s="37"/>
      <c r="X532" s="37"/>
      <c r="Z532" s="34"/>
      <c r="AA532" s="34"/>
      <c r="AB532" s="34"/>
      <c r="AC532" s="34"/>
      <c r="AD532" s="34"/>
    </row>
    <row r="533" spans="2:30" s="23" customFormat="1" ht="19.5" customHeight="1">
      <c r="C533" s="4" t="s">
        <v>74</v>
      </c>
      <c r="D533" s="4" t="s">
        <v>1714</v>
      </c>
      <c r="E533" s="4"/>
      <c r="F533" s="3"/>
      <c r="G533" s="3"/>
      <c r="H533" s="35"/>
      <c r="I533" s="35"/>
      <c r="J533" s="35"/>
      <c r="K533" s="35"/>
      <c r="L533" s="35"/>
      <c r="M533" s="33"/>
      <c r="N533" s="33"/>
      <c r="O533" s="203"/>
      <c r="P533" s="203"/>
      <c r="Q533" s="203"/>
      <c r="R533" s="203"/>
      <c r="S533" s="203"/>
      <c r="T533" s="203"/>
      <c r="U533" s="37"/>
      <c r="V533" s="37"/>
      <c r="W533" s="37"/>
      <c r="X533" s="37"/>
      <c r="Z533" s="34"/>
      <c r="AA533" s="34"/>
      <c r="AB533" s="34"/>
      <c r="AC533" s="34"/>
      <c r="AD533" s="34"/>
    </row>
    <row r="534" spans="2:30" s="23" customFormat="1" ht="19.5" customHeight="1">
      <c r="C534" s="534" t="s">
        <v>53</v>
      </c>
      <c r="D534" s="4" t="s">
        <v>1715</v>
      </c>
      <c r="E534" s="4"/>
      <c r="F534" s="3"/>
      <c r="G534" s="3"/>
      <c r="H534" s="35"/>
      <c r="I534" s="35"/>
      <c r="J534" s="35"/>
      <c r="K534" s="35"/>
      <c r="L534" s="35"/>
      <c r="M534" s="33"/>
      <c r="N534" s="33"/>
      <c r="O534" s="203"/>
      <c r="P534" s="203"/>
      <c r="Q534" s="203"/>
      <c r="R534" s="203"/>
      <c r="S534" s="203"/>
      <c r="T534" s="203"/>
      <c r="U534" s="37"/>
      <c r="V534" s="37"/>
      <c r="W534" s="37"/>
      <c r="X534" s="37"/>
      <c r="Z534" s="34"/>
      <c r="AA534" s="34"/>
      <c r="AB534" s="34"/>
      <c r="AC534" s="34"/>
      <c r="AD534" s="34"/>
    </row>
    <row r="535" spans="2:30" s="23" customFormat="1" ht="19.5" customHeight="1">
      <c r="C535" s="4"/>
      <c r="D535" s="4" t="s">
        <v>1718</v>
      </c>
      <c r="E535" s="4"/>
      <c r="F535" s="3"/>
      <c r="G535" s="3"/>
      <c r="H535" s="35"/>
      <c r="I535" s="35"/>
      <c r="J535" s="35"/>
      <c r="K535" s="35"/>
      <c r="L535" s="35"/>
      <c r="M535" s="33"/>
      <c r="N535" s="33"/>
      <c r="O535" s="203"/>
      <c r="P535" s="203"/>
      <c r="Q535" s="203"/>
      <c r="R535" s="203"/>
      <c r="S535" s="203"/>
      <c r="T535" s="203"/>
      <c r="U535" s="37"/>
      <c r="V535" s="37"/>
      <c r="W535" s="37"/>
      <c r="X535" s="37"/>
      <c r="Z535" s="34"/>
      <c r="AA535" s="34"/>
      <c r="AB535" s="34"/>
      <c r="AC535" s="34"/>
      <c r="AD535" s="34"/>
    </row>
    <row r="536" spans="2:30" s="23" customFormat="1" ht="19.5" customHeight="1">
      <c r="C536" s="534" t="s">
        <v>53</v>
      </c>
      <c r="D536" s="4" t="s">
        <v>1719</v>
      </c>
      <c r="E536" s="4"/>
      <c r="F536" s="3"/>
      <c r="G536" s="3"/>
      <c r="H536" s="35"/>
      <c r="I536" s="35"/>
      <c r="J536" s="35"/>
      <c r="K536" s="35"/>
      <c r="L536" s="35"/>
      <c r="M536" s="33"/>
      <c r="N536" s="33"/>
      <c r="O536" s="203"/>
      <c r="P536" s="203"/>
      <c r="Q536" s="203"/>
      <c r="R536" s="203"/>
      <c r="S536" s="203"/>
      <c r="T536" s="203"/>
      <c r="U536" s="37"/>
      <c r="V536" s="37"/>
      <c r="W536" s="37"/>
      <c r="X536" s="37"/>
      <c r="Z536" s="34"/>
      <c r="AA536" s="34"/>
      <c r="AB536" s="34"/>
      <c r="AC536" s="34"/>
      <c r="AD536" s="34"/>
    </row>
    <row r="537" spans="2:30" s="23" customFormat="1" ht="19.5" customHeight="1">
      <c r="C537" s="4"/>
      <c r="D537" s="4" t="s">
        <v>1720</v>
      </c>
      <c r="E537" s="4"/>
      <c r="F537" s="3"/>
      <c r="G537" s="3"/>
      <c r="H537" s="35"/>
      <c r="I537" s="35"/>
      <c r="J537" s="35"/>
      <c r="K537" s="35"/>
      <c r="L537" s="35"/>
      <c r="M537" s="33"/>
      <c r="N537" s="33"/>
      <c r="O537" s="203"/>
      <c r="P537" s="203"/>
      <c r="Q537" s="203"/>
      <c r="R537" s="203"/>
      <c r="S537" s="203"/>
      <c r="T537" s="203"/>
      <c r="U537" s="37"/>
      <c r="V537" s="37"/>
      <c r="W537" s="37"/>
      <c r="X537" s="37"/>
      <c r="Z537" s="34"/>
      <c r="AA537" s="34"/>
      <c r="AB537" s="34"/>
      <c r="AC537" s="34"/>
      <c r="AD537" s="34"/>
    </row>
    <row r="538" spans="2:30" s="23" customFormat="1" ht="19.5" customHeight="1">
      <c r="C538" s="534" t="s">
        <v>53</v>
      </c>
      <c r="D538" s="4" t="s">
        <v>1721</v>
      </c>
      <c r="E538" s="4"/>
      <c r="F538" s="3"/>
      <c r="G538" s="3"/>
      <c r="H538" s="35"/>
      <c r="I538" s="35"/>
      <c r="J538" s="35"/>
      <c r="K538" s="35"/>
      <c r="L538" s="35"/>
      <c r="M538" s="33"/>
      <c r="N538" s="33"/>
      <c r="O538" s="203"/>
      <c r="P538" s="203"/>
      <c r="Q538" s="203"/>
      <c r="R538" s="203"/>
      <c r="S538" s="203"/>
      <c r="T538" s="203"/>
      <c r="U538" s="37"/>
      <c r="V538" s="37"/>
      <c r="W538" s="37"/>
      <c r="X538" s="37"/>
      <c r="Z538" s="34"/>
      <c r="AA538" s="34"/>
      <c r="AB538" s="34"/>
      <c r="AC538" s="34"/>
      <c r="AD538" s="34"/>
    </row>
    <row r="539" spans="2:30" s="23" customFormat="1" ht="19.5" customHeight="1">
      <c r="C539" s="4"/>
      <c r="D539" s="4" t="s">
        <v>1722</v>
      </c>
      <c r="E539" s="4"/>
      <c r="F539" s="3"/>
      <c r="G539" s="3"/>
      <c r="H539" s="35"/>
      <c r="I539" s="35"/>
      <c r="J539" s="35"/>
      <c r="K539" s="35"/>
      <c r="L539" s="35"/>
      <c r="M539" s="33"/>
      <c r="N539" s="33"/>
      <c r="O539" s="203"/>
      <c r="P539" s="203"/>
      <c r="Q539" s="203"/>
      <c r="R539" s="203"/>
      <c r="S539" s="203"/>
      <c r="T539" s="203"/>
      <c r="U539" s="37"/>
      <c r="V539" s="37"/>
      <c r="W539" s="37"/>
      <c r="X539" s="37"/>
      <c r="Z539" s="34"/>
      <c r="AA539" s="34"/>
      <c r="AB539" s="34"/>
      <c r="AC539" s="34"/>
      <c r="AD539" s="34"/>
    </row>
    <row r="540" spans="2:30" s="23" customFormat="1" ht="19.5" customHeight="1">
      <c r="C540" s="4" t="s">
        <v>75</v>
      </c>
      <c r="D540" s="4" t="s">
        <v>211</v>
      </c>
      <c r="E540" s="4"/>
      <c r="F540" s="3"/>
      <c r="G540" s="3"/>
      <c r="H540" s="35"/>
      <c r="I540" s="35"/>
      <c r="J540" s="35"/>
      <c r="K540" s="35"/>
      <c r="L540" s="35"/>
      <c r="M540" s="33"/>
      <c r="N540" s="33"/>
      <c r="O540" s="203"/>
      <c r="P540" s="203"/>
      <c r="Q540" s="203"/>
      <c r="R540" s="203"/>
      <c r="S540" s="203"/>
      <c r="T540" s="203"/>
      <c r="U540" s="37"/>
      <c r="V540" s="37"/>
      <c r="W540" s="37"/>
      <c r="X540" s="37"/>
      <c r="Z540" s="34"/>
      <c r="AA540" s="34"/>
      <c r="AB540" s="34"/>
      <c r="AC540" s="34"/>
      <c r="AD540" s="34"/>
    </row>
    <row r="541" spans="2:30" s="23" customFormat="1" ht="19.5" customHeight="1">
      <c r="C541" s="534" t="s">
        <v>53</v>
      </c>
      <c r="D541" s="4" t="s">
        <v>1724</v>
      </c>
      <c r="E541" s="4"/>
      <c r="F541" s="3"/>
      <c r="G541" s="3"/>
      <c r="H541" s="35"/>
      <c r="I541" s="35"/>
      <c r="J541" s="35"/>
      <c r="K541" s="35"/>
      <c r="L541" s="35"/>
      <c r="M541" s="33"/>
      <c r="N541" s="33"/>
      <c r="O541" s="203"/>
      <c r="P541" s="203"/>
      <c r="Q541" s="203"/>
      <c r="R541" s="203"/>
      <c r="S541" s="203"/>
      <c r="T541" s="203"/>
      <c r="U541" s="37"/>
      <c r="V541" s="37"/>
      <c r="W541" s="37"/>
      <c r="X541" s="37"/>
      <c r="Z541" s="34"/>
      <c r="AA541" s="34"/>
      <c r="AB541" s="34"/>
      <c r="AC541" s="34"/>
      <c r="AD541" s="34"/>
    </row>
    <row r="542" spans="2:30" s="23" customFormat="1" ht="19.5" customHeight="1">
      <c r="C542" s="4"/>
      <c r="D542" s="4" t="s">
        <v>1723</v>
      </c>
      <c r="E542" s="4"/>
      <c r="F542" s="3"/>
      <c r="G542" s="3"/>
      <c r="H542" s="35"/>
      <c r="I542" s="35"/>
      <c r="J542" s="35"/>
      <c r="K542" s="35"/>
      <c r="L542" s="35"/>
      <c r="M542" s="33"/>
      <c r="N542" s="33"/>
      <c r="O542" s="203"/>
      <c r="P542" s="203"/>
      <c r="Q542" s="203"/>
      <c r="R542" s="203"/>
      <c r="S542" s="203"/>
      <c r="T542" s="203"/>
      <c r="U542" s="37"/>
      <c r="V542" s="37"/>
      <c r="W542" s="37"/>
      <c r="X542" s="37"/>
      <c r="Z542" s="34"/>
      <c r="AA542" s="34"/>
      <c r="AB542" s="34"/>
      <c r="AC542" s="34"/>
      <c r="AD542" s="34"/>
    </row>
    <row r="543" spans="2:30" s="23" customFormat="1" ht="19.5" customHeight="1">
      <c r="C543" s="4"/>
      <c r="D543" s="4"/>
      <c r="E543" s="4"/>
      <c r="F543" s="3"/>
      <c r="G543" s="3"/>
      <c r="H543" s="35"/>
      <c r="I543" s="35"/>
      <c r="J543" s="35"/>
      <c r="K543" s="35"/>
      <c r="L543" s="35"/>
      <c r="M543" s="33"/>
      <c r="N543" s="33"/>
      <c r="O543" s="203"/>
      <c r="P543" s="203"/>
      <c r="Q543" s="203"/>
      <c r="R543" s="203"/>
      <c r="S543" s="203"/>
      <c r="T543" s="203"/>
      <c r="U543" s="37"/>
      <c r="V543" s="37"/>
      <c r="W543" s="37"/>
      <c r="X543" s="37"/>
      <c r="Z543" s="34"/>
      <c r="AA543" s="34"/>
      <c r="AB543" s="34"/>
      <c r="AC543" s="34"/>
      <c r="AD543" s="34"/>
    </row>
    <row r="544" spans="2:30" s="4" customFormat="1" ht="18.75" customHeight="1">
      <c r="B544" s="4" t="s">
        <v>217</v>
      </c>
      <c r="C544" s="4" t="s">
        <v>201</v>
      </c>
    </row>
    <row r="545" spans="2:26" s="16" customFormat="1" ht="20.25" customHeight="1">
      <c r="C545" s="568" t="s">
        <v>42</v>
      </c>
      <c r="D545" s="568"/>
      <c r="E545" s="568"/>
      <c r="F545" s="568"/>
      <c r="G545" s="568"/>
      <c r="H545" s="568" t="s">
        <v>216</v>
      </c>
      <c r="I545" s="568"/>
      <c r="J545" s="568"/>
      <c r="K545" s="568"/>
      <c r="L545" s="568"/>
      <c r="M545" s="568" t="s">
        <v>263</v>
      </c>
      <c r="N545" s="568"/>
      <c r="O545" s="568"/>
      <c r="P545" s="568"/>
      <c r="Q545" s="568"/>
      <c r="R545" s="568" t="s">
        <v>271</v>
      </c>
      <c r="S545" s="568"/>
      <c r="T545" s="568"/>
      <c r="U545" s="568"/>
      <c r="V545" s="568"/>
      <c r="W545" s="568"/>
      <c r="X545" s="568"/>
    </row>
    <row r="546" spans="2:26" s="23" customFormat="1" ht="19.5" customHeight="1">
      <c r="C546" s="653" t="s">
        <v>201</v>
      </c>
      <c r="D546" s="653"/>
      <c r="E546" s="653"/>
      <c r="F546" s="653"/>
      <c r="G546" s="653"/>
      <c r="H546" s="570">
        <v>120000000</v>
      </c>
      <c r="I546" s="570"/>
      <c r="J546" s="570"/>
      <c r="K546" s="570"/>
      <c r="L546" s="570"/>
      <c r="M546" s="570">
        <v>265000000</v>
      </c>
      <c r="N546" s="570"/>
      <c r="O546" s="570"/>
      <c r="P546" s="570"/>
      <c r="Q546" s="570"/>
      <c r="R546" s="570">
        <f>H546+M546</f>
        <v>385000000</v>
      </c>
      <c r="S546" s="569"/>
      <c r="T546" s="569"/>
      <c r="U546" s="569"/>
      <c r="V546" s="569"/>
      <c r="W546" s="569"/>
      <c r="X546" s="569"/>
      <c r="Z546" s="34"/>
    </row>
    <row r="547" spans="2:26" s="23" customFormat="1" ht="19.5" customHeight="1">
      <c r="C547" s="653" t="s">
        <v>264</v>
      </c>
      <c r="D547" s="653"/>
      <c r="E547" s="653"/>
      <c r="F547" s="653"/>
      <c r="G547" s="653"/>
      <c r="H547" s="570">
        <f>SUM(H546:L546)</f>
        <v>120000000</v>
      </c>
      <c r="I547" s="570">
        <v>138999500</v>
      </c>
      <c r="J547" s="570">
        <v>138999500</v>
      </c>
      <c r="K547" s="570">
        <v>138999500</v>
      </c>
      <c r="L547" s="570">
        <v>138999500</v>
      </c>
      <c r="M547" s="570">
        <f>SUM(M546:Q546)</f>
        <v>265000000</v>
      </c>
      <c r="N547" s="570">
        <v>138999500</v>
      </c>
      <c r="O547" s="570">
        <v>138999500</v>
      </c>
      <c r="P547" s="570">
        <v>138999500</v>
      </c>
      <c r="Q547" s="570">
        <v>138999500</v>
      </c>
      <c r="R547" s="570">
        <f>H547+M547</f>
        <v>385000000</v>
      </c>
      <c r="S547" s="569"/>
      <c r="T547" s="569"/>
      <c r="U547" s="569"/>
      <c r="V547" s="569"/>
      <c r="W547" s="569"/>
      <c r="X547" s="569"/>
    </row>
    <row r="548" spans="2:26" s="23" customFormat="1" ht="19.5" customHeight="1">
      <c r="C548" s="4" t="s">
        <v>562</v>
      </c>
      <c r="D548" s="4"/>
      <c r="E548" s="4"/>
      <c r="F548" s="4"/>
      <c r="G548" s="4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"/>
      <c r="T548" s="3"/>
      <c r="U548" s="3"/>
      <c r="V548" s="3"/>
      <c r="W548" s="3"/>
      <c r="X548" s="3"/>
    </row>
    <row r="549" spans="2:26" s="23" customFormat="1" ht="19.5" customHeight="1">
      <c r="C549" s="195" t="s">
        <v>563</v>
      </c>
      <c r="D549" s="4"/>
      <c r="E549" s="4"/>
      <c r="F549" s="4"/>
      <c r="G549" s="4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2" t="s">
        <v>6</v>
      </c>
      <c r="S549" s="565">
        <v>375000000</v>
      </c>
      <c r="T549" s="565"/>
      <c r="U549" s="565"/>
      <c r="V549" s="565"/>
      <c r="W549" s="565"/>
      <c r="X549" s="565"/>
    </row>
    <row r="550" spans="2:26" s="23" customFormat="1" ht="19.5" customHeight="1">
      <c r="C550" s="195" t="s">
        <v>564</v>
      </c>
      <c r="D550" s="4"/>
      <c r="E550" s="4"/>
      <c r="F550" s="4"/>
      <c r="G550" s="4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193" t="s">
        <v>6</v>
      </c>
      <c r="S550" s="583">
        <v>10000000</v>
      </c>
      <c r="T550" s="583"/>
      <c r="U550" s="583"/>
      <c r="V550" s="583"/>
      <c r="W550" s="583"/>
      <c r="X550" s="583"/>
    </row>
    <row r="551" spans="2:26" ht="16.5" customHeight="1">
      <c r="C551" s="1" t="s">
        <v>50</v>
      </c>
      <c r="R551" s="2" t="s">
        <v>6</v>
      </c>
      <c r="S551" s="565">
        <f>SUM(S549:X550)</f>
        <v>385000000</v>
      </c>
      <c r="T551" s="565"/>
      <c r="U551" s="565"/>
      <c r="V551" s="565"/>
      <c r="W551" s="565"/>
      <c r="X551" s="565"/>
    </row>
    <row r="552" spans="2:26" ht="16.5" customHeight="1">
      <c r="R552" s="2"/>
      <c r="S552" s="28"/>
      <c r="T552" s="28"/>
      <c r="U552" s="28"/>
      <c r="V552" s="28"/>
      <c r="W552" s="28"/>
      <c r="X552" s="28"/>
    </row>
    <row r="553" spans="2:26" s="4" customFormat="1" ht="18.75" customHeight="1">
      <c r="B553" s="4" t="s">
        <v>265</v>
      </c>
      <c r="C553" s="4" t="s">
        <v>266</v>
      </c>
    </row>
    <row r="554" spans="2:26" s="16" customFormat="1" ht="20.25" customHeight="1">
      <c r="C554" s="568" t="s">
        <v>42</v>
      </c>
      <c r="D554" s="568"/>
      <c r="E554" s="568"/>
      <c r="F554" s="568"/>
      <c r="G554" s="568"/>
      <c r="H554" s="568" t="s">
        <v>43</v>
      </c>
      <c r="I554" s="568"/>
      <c r="J554" s="568"/>
      <c r="K554" s="568"/>
      <c r="L554" s="568"/>
      <c r="M554" s="568" t="s">
        <v>44</v>
      </c>
      <c r="N554" s="568"/>
      <c r="O554" s="568"/>
      <c r="P554" s="568"/>
      <c r="Q554" s="568"/>
      <c r="R554" s="568" t="s">
        <v>55</v>
      </c>
      <c r="S554" s="568"/>
      <c r="T554" s="568"/>
      <c r="U554" s="568"/>
      <c r="V554" s="568"/>
      <c r="W554" s="568"/>
      <c r="X554" s="568"/>
    </row>
    <row r="555" spans="2:26" s="23" customFormat="1" ht="19.5" customHeight="1">
      <c r="C555" s="581" t="s">
        <v>267</v>
      </c>
      <c r="D555" s="577"/>
      <c r="E555" s="577"/>
      <c r="F555" s="577"/>
      <c r="G555" s="577"/>
      <c r="H555" s="570">
        <v>0</v>
      </c>
      <c r="I555" s="570"/>
      <c r="J555" s="570"/>
      <c r="K555" s="570"/>
      <c r="L555" s="570"/>
      <c r="M555" s="570">
        <v>0</v>
      </c>
      <c r="N555" s="570"/>
      <c r="O555" s="570"/>
      <c r="P555" s="570"/>
      <c r="Q555" s="570"/>
      <c r="R555" s="570">
        <f>M555-H555</f>
        <v>0</v>
      </c>
      <c r="S555" s="569"/>
      <c r="T555" s="569"/>
      <c r="U555" s="569"/>
      <c r="V555" s="569"/>
      <c r="W555" s="569"/>
      <c r="X555" s="569"/>
    </row>
    <row r="556" spans="2:26" s="23" customFormat="1" ht="19.5" customHeight="1">
      <c r="C556" s="577" t="s">
        <v>50</v>
      </c>
      <c r="D556" s="577"/>
      <c r="E556" s="577"/>
      <c r="F556" s="577"/>
      <c r="G556" s="577"/>
      <c r="H556" s="570">
        <f>SUM(H555:L555)</f>
        <v>0</v>
      </c>
      <c r="I556" s="570">
        <v>138999500</v>
      </c>
      <c r="J556" s="570">
        <v>138999500</v>
      </c>
      <c r="K556" s="570">
        <v>138999500</v>
      </c>
      <c r="L556" s="570">
        <v>138999500</v>
      </c>
      <c r="M556" s="570">
        <f>SUM(M555:Q555)</f>
        <v>0</v>
      </c>
      <c r="N556" s="570">
        <v>138999500</v>
      </c>
      <c r="O556" s="570">
        <v>138999500</v>
      </c>
      <c r="P556" s="570">
        <v>138999500</v>
      </c>
      <c r="Q556" s="570">
        <v>138999500</v>
      </c>
      <c r="R556" s="570">
        <f>M556-H556</f>
        <v>0</v>
      </c>
      <c r="S556" s="569"/>
      <c r="T556" s="569"/>
      <c r="U556" s="569"/>
      <c r="V556" s="569"/>
      <c r="W556" s="569"/>
      <c r="X556" s="569"/>
    </row>
    <row r="557" spans="2:26" ht="16.5" customHeight="1"/>
    <row r="558" spans="2:26" ht="16.5" customHeight="1"/>
    <row r="559" spans="2:26" ht="16.5" customHeight="1"/>
    <row r="560" spans="2:26" ht="16.5" customHeight="1"/>
    <row r="561" spans="2:16" ht="16.5" customHeight="1">
      <c r="B561" s="1" t="s">
        <v>268</v>
      </c>
      <c r="C561" s="1" t="s">
        <v>269</v>
      </c>
    </row>
    <row r="562" spans="2:16" ht="16.5" customHeight="1">
      <c r="C562" s="32" t="s">
        <v>270</v>
      </c>
    </row>
    <row r="563" spans="2:16" ht="16.5" customHeight="1"/>
    <row r="564" spans="2:16" ht="16.5" customHeight="1">
      <c r="P564" s="1" t="s">
        <v>490</v>
      </c>
    </row>
    <row r="565" spans="2:16" ht="16.5" customHeight="1">
      <c r="P565" s="1" t="s">
        <v>491</v>
      </c>
    </row>
    <row r="566" spans="2:16" ht="16.5" customHeight="1"/>
    <row r="567" spans="2:16" ht="16.5" customHeight="1"/>
    <row r="568" spans="2:16" ht="16.5" customHeight="1"/>
    <row r="569" spans="2:16" ht="16.5" customHeight="1"/>
    <row r="570" spans="2:16" ht="16.5" customHeight="1">
      <c r="P570" s="1" t="s">
        <v>560</v>
      </c>
    </row>
    <row r="571" spans="2:16" ht="16.5" customHeight="1"/>
    <row r="572" spans="2:16" ht="16.5" customHeight="1"/>
    <row r="573" spans="2:16" ht="16.5" customHeight="1"/>
    <row r="574" spans="2:16" ht="16.5" customHeight="1"/>
    <row r="575" spans="2:16" ht="16.5" customHeight="1"/>
    <row r="576" spans="2:1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</sheetData>
  <mergeCells count="832">
    <mergeCell ref="T107:X107"/>
    <mergeCell ref="T108:X108"/>
    <mergeCell ref="T75:X75"/>
    <mergeCell ref="T76:X76"/>
    <mergeCell ref="T74:X74"/>
    <mergeCell ref="T69:X69"/>
    <mergeCell ref="T70:X70"/>
    <mergeCell ref="T147:X147"/>
    <mergeCell ref="S156:X156"/>
    <mergeCell ref="T149:X149"/>
    <mergeCell ref="T105:X105"/>
    <mergeCell ref="T106:X106"/>
    <mergeCell ref="T109:X109"/>
    <mergeCell ref="T92:X92"/>
    <mergeCell ref="T93:X93"/>
    <mergeCell ref="T94:X94"/>
    <mergeCell ref="C495:G495"/>
    <mergeCell ref="H495:L495"/>
    <mergeCell ref="M495:Q495"/>
    <mergeCell ref="R495:X495"/>
    <mergeCell ref="R477:X477"/>
    <mergeCell ref="C478:G478"/>
    <mergeCell ref="H478:L478"/>
    <mergeCell ref="M478:Q478"/>
    <mergeCell ref="R478:X478"/>
    <mergeCell ref="C481:G481"/>
    <mergeCell ref="H481:L481"/>
    <mergeCell ref="M481:Q481"/>
    <mergeCell ref="R481:X481"/>
    <mergeCell ref="C488:G488"/>
    <mergeCell ref="H488:L488"/>
    <mergeCell ref="M488:Q488"/>
    <mergeCell ref="R488:X488"/>
    <mergeCell ref="C489:G489"/>
    <mergeCell ref="C496:G496"/>
    <mergeCell ref="H496:L496"/>
    <mergeCell ref="M496:Q496"/>
    <mergeCell ref="R496:X496"/>
    <mergeCell ref="C490:G490"/>
    <mergeCell ref="M492:Q492"/>
    <mergeCell ref="H490:L490"/>
    <mergeCell ref="R490:X490"/>
    <mergeCell ref="C491:G491"/>
    <mergeCell ref="H491:L491"/>
    <mergeCell ref="R491:X491"/>
    <mergeCell ref="C492:G492"/>
    <mergeCell ref="H492:L492"/>
    <mergeCell ref="R492:X492"/>
    <mergeCell ref="C493:G493"/>
    <mergeCell ref="H493:L493"/>
    <mergeCell ref="M493:Q493"/>
    <mergeCell ref="R493:X493"/>
    <mergeCell ref="C494:G494"/>
    <mergeCell ref="H494:L494"/>
    <mergeCell ref="M494:Q494"/>
    <mergeCell ref="R494:X494"/>
    <mergeCell ref="M490:Q490"/>
    <mergeCell ref="M491:Q491"/>
    <mergeCell ref="M555:Q555"/>
    <mergeCell ref="C547:G547"/>
    <mergeCell ref="H547:L547"/>
    <mergeCell ref="M547:Q547"/>
    <mergeCell ref="R547:X547"/>
    <mergeCell ref="M554:Q554"/>
    <mergeCell ref="C545:G545"/>
    <mergeCell ref="H545:L545"/>
    <mergeCell ref="M545:Q545"/>
    <mergeCell ref="R545:X545"/>
    <mergeCell ref="C546:G546"/>
    <mergeCell ref="H546:L546"/>
    <mergeCell ref="M546:Q546"/>
    <mergeCell ref="R546:X546"/>
    <mergeCell ref="S549:X549"/>
    <mergeCell ref="S550:X550"/>
    <mergeCell ref="S551:X551"/>
    <mergeCell ref="C459:G459"/>
    <mergeCell ref="H459:L459"/>
    <mergeCell ref="M459:Q459"/>
    <mergeCell ref="R459:X459"/>
    <mergeCell ref="C460:G460"/>
    <mergeCell ref="H460:L460"/>
    <mergeCell ref="M460:Q460"/>
    <mergeCell ref="R460:X460"/>
    <mergeCell ref="C479:G479"/>
    <mergeCell ref="H479:L479"/>
    <mergeCell ref="M479:Q479"/>
    <mergeCell ref="R479:X479"/>
    <mergeCell ref="C462:G462"/>
    <mergeCell ref="H462:L462"/>
    <mergeCell ref="M462:Q462"/>
    <mergeCell ref="R462:X462"/>
    <mergeCell ref="C463:G463"/>
    <mergeCell ref="H463:L463"/>
    <mergeCell ref="M463:Q463"/>
    <mergeCell ref="C461:G461"/>
    <mergeCell ref="H461:L461"/>
    <mergeCell ref="M461:Q461"/>
    <mergeCell ref="R461:X461"/>
    <mergeCell ref="S469:X469"/>
    <mergeCell ref="C458:G458"/>
    <mergeCell ref="H458:L458"/>
    <mergeCell ref="M458:Q458"/>
    <mergeCell ref="R458:X458"/>
    <mergeCell ref="H489:L489"/>
    <mergeCell ref="M489:Q489"/>
    <mergeCell ref="R489:X489"/>
    <mergeCell ref="C321:G321"/>
    <mergeCell ref="H321:L321"/>
    <mergeCell ref="M321:Q321"/>
    <mergeCell ref="R321:X321"/>
    <mergeCell ref="C322:G322"/>
    <mergeCell ref="H322:L322"/>
    <mergeCell ref="M322:Q322"/>
    <mergeCell ref="R322:X322"/>
    <mergeCell ref="C323:G323"/>
    <mergeCell ref="H323:L323"/>
    <mergeCell ref="M323:Q323"/>
    <mergeCell ref="R323:X323"/>
    <mergeCell ref="C358:G358"/>
    <mergeCell ref="H358:L358"/>
    <mergeCell ref="M358:Q358"/>
    <mergeCell ref="R358:X358"/>
    <mergeCell ref="C355:G355"/>
    <mergeCell ref="M355:Q355"/>
    <mergeCell ref="R355:X355"/>
    <mergeCell ref="C357:G357"/>
    <mergeCell ref="H357:L357"/>
    <mergeCell ref="C457:G457"/>
    <mergeCell ref="H457:L457"/>
    <mergeCell ref="M457:Q457"/>
    <mergeCell ref="R457:X457"/>
    <mergeCell ref="C359:G359"/>
    <mergeCell ref="H359:L359"/>
    <mergeCell ref="M359:Q359"/>
    <mergeCell ref="R359:X359"/>
    <mergeCell ref="C364:G364"/>
    <mergeCell ref="H364:L364"/>
    <mergeCell ref="M364:Q364"/>
    <mergeCell ref="R364:X364"/>
    <mergeCell ref="M360:Q360"/>
    <mergeCell ref="C360:G360"/>
    <mergeCell ref="C366:G366"/>
    <mergeCell ref="H366:L366"/>
    <mergeCell ref="M366:Q366"/>
    <mergeCell ref="R366:X366"/>
    <mergeCell ref="C377:G377"/>
    <mergeCell ref="S183:X183"/>
    <mergeCell ref="E231:Q231"/>
    <mergeCell ref="S268:X268"/>
    <mergeCell ref="S271:X271"/>
    <mergeCell ref="S231:X231"/>
    <mergeCell ref="S267:X267"/>
    <mergeCell ref="S273:X273"/>
    <mergeCell ref="M251:Q251"/>
    <mergeCell ref="R251:X251"/>
    <mergeCell ref="S254:X254"/>
    <mergeCell ref="S261:X261"/>
    <mergeCell ref="S264:X264"/>
    <mergeCell ref="S263:X263"/>
    <mergeCell ref="S265:X265"/>
    <mergeCell ref="S266:X266"/>
    <mergeCell ref="S241:X241"/>
    <mergeCell ref="D241:Q241"/>
    <mergeCell ref="C246:G246"/>
    <mergeCell ref="H246:L246"/>
    <mergeCell ref="M246:Q246"/>
    <mergeCell ref="R246:X246"/>
    <mergeCell ref="C249:G249"/>
    <mergeCell ref="H249:L249"/>
    <mergeCell ref="M249:Q249"/>
    <mergeCell ref="S171:X171"/>
    <mergeCell ref="S172:X172"/>
    <mergeCell ref="S179:X179"/>
    <mergeCell ref="E182:Q182"/>
    <mergeCell ref="S182:X182"/>
    <mergeCell ref="S174:X174"/>
    <mergeCell ref="S175:X175"/>
    <mergeCell ref="S177:X177"/>
    <mergeCell ref="S178:X178"/>
    <mergeCell ref="C247:G247"/>
    <mergeCell ref="H247:L247"/>
    <mergeCell ref="M247:Q247"/>
    <mergeCell ref="R247:X247"/>
    <mergeCell ref="C248:G248"/>
    <mergeCell ref="H248:L248"/>
    <mergeCell ref="M248:Q248"/>
    <mergeCell ref="R248:X248"/>
    <mergeCell ref="S186:X186"/>
    <mergeCell ref="S187:X187"/>
    <mergeCell ref="S157:X157"/>
    <mergeCell ref="S158:X158"/>
    <mergeCell ref="C168:G168"/>
    <mergeCell ref="H168:L168"/>
    <mergeCell ref="M168:Q168"/>
    <mergeCell ref="R168:X168"/>
    <mergeCell ref="C167:G167"/>
    <mergeCell ref="H167:L167"/>
    <mergeCell ref="M167:Q167"/>
    <mergeCell ref="R167:X167"/>
    <mergeCell ref="C166:G166"/>
    <mergeCell ref="H166:L166"/>
    <mergeCell ref="M166:Q166"/>
    <mergeCell ref="R166:X166"/>
    <mergeCell ref="N158:R158"/>
    <mergeCell ref="D40:J40"/>
    <mergeCell ref="K40:Q40"/>
    <mergeCell ref="R40:X40"/>
    <mergeCell ref="C164:G164"/>
    <mergeCell ref="H164:L164"/>
    <mergeCell ref="M164:Q164"/>
    <mergeCell ref="R164:X164"/>
    <mergeCell ref="T144:X144"/>
    <mergeCell ref="C145:I145"/>
    <mergeCell ref="J145:N145"/>
    <mergeCell ref="O145:S145"/>
    <mergeCell ref="T145:X145"/>
    <mergeCell ref="C163:G163"/>
    <mergeCell ref="H163:L163"/>
    <mergeCell ref="M163:Q163"/>
    <mergeCell ref="R163:X163"/>
    <mergeCell ref="C146:I146"/>
    <mergeCell ref="J146:N146"/>
    <mergeCell ref="O146:S146"/>
    <mergeCell ref="T146:X146"/>
    <mergeCell ref="C148:I148"/>
    <mergeCell ref="J148:N148"/>
    <mergeCell ref="O148:S148"/>
    <mergeCell ref="T148:X148"/>
    <mergeCell ref="K41:Q41"/>
    <mergeCell ref="R41:X41"/>
    <mergeCell ref="D43:Q43"/>
    <mergeCell ref="D47:Q47"/>
    <mergeCell ref="C147:I147"/>
    <mergeCell ref="J147:N147"/>
    <mergeCell ref="O147:S147"/>
    <mergeCell ref="A1:X1"/>
    <mergeCell ref="A2:X2"/>
    <mergeCell ref="A3:X3"/>
    <mergeCell ref="O59:S59"/>
    <mergeCell ref="O60:S60"/>
    <mergeCell ref="C59:I59"/>
    <mergeCell ref="C60:I60"/>
    <mergeCell ref="D44:Q44"/>
    <mergeCell ref="R44:X44"/>
    <mergeCell ref="T58:X58"/>
    <mergeCell ref="O58:S58"/>
    <mergeCell ref="J58:N58"/>
    <mergeCell ref="C58:I58"/>
    <mergeCell ref="C37:Q37"/>
    <mergeCell ref="R37:X37"/>
    <mergeCell ref="D41:J41"/>
    <mergeCell ref="J60:N60"/>
    <mergeCell ref="D39:J39"/>
    <mergeCell ref="K39:Q39"/>
    <mergeCell ref="D30:J30"/>
    <mergeCell ref="K30:Q30"/>
    <mergeCell ref="R30:X30"/>
    <mergeCell ref="D36:Q36"/>
    <mergeCell ref="D31:Q31"/>
    <mergeCell ref="R31:X31"/>
    <mergeCell ref="C32:Q32"/>
    <mergeCell ref="R32:X32"/>
    <mergeCell ref="C38:Q38"/>
    <mergeCell ref="R38:X38"/>
    <mergeCell ref="R39:X39"/>
    <mergeCell ref="R48:X48"/>
    <mergeCell ref="R49:X49"/>
    <mergeCell ref="R50:X50"/>
    <mergeCell ref="J59:N59"/>
    <mergeCell ref="R43:X43"/>
    <mergeCell ref="T59:X59"/>
    <mergeCell ref="T73:X73"/>
    <mergeCell ref="D48:Q48"/>
    <mergeCell ref="D49:Q49"/>
    <mergeCell ref="C50:Q50"/>
    <mergeCell ref="R47:X47"/>
    <mergeCell ref="J61:N61"/>
    <mergeCell ref="J62:N62"/>
    <mergeCell ref="J63:N63"/>
    <mergeCell ref="O61:S61"/>
    <mergeCell ref="O62:S62"/>
    <mergeCell ref="O63:S63"/>
    <mergeCell ref="T60:X60"/>
    <mergeCell ref="T61:X61"/>
    <mergeCell ref="T62:X62"/>
    <mergeCell ref="T63:X63"/>
    <mergeCell ref="C61:I61"/>
    <mergeCell ref="T68:X68"/>
    <mergeCell ref="T72:X72"/>
    <mergeCell ref="D19:Q19"/>
    <mergeCell ref="R19:X19"/>
    <mergeCell ref="C21:Q21"/>
    <mergeCell ref="D26:Q26"/>
    <mergeCell ref="R26:X26"/>
    <mergeCell ref="D23:J23"/>
    <mergeCell ref="K23:Q23"/>
    <mergeCell ref="R23:X23"/>
    <mergeCell ref="D24:J24"/>
    <mergeCell ref="K24:Q24"/>
    <mergeCell ref="R24:X24"/>
    <mergeCell ref="R21:X21"/>
    <mergeCell ref="D22:J22"/>
    <mergeCell ref="K22:Q22"/>
    <mergeCell ref="R22:X22"/>
    <mergeCell ref="D25:J25"/>
    <mergeCell ref="K25:Q25"/>
    <mergeCell ref="R25:X25"/>
    <mergeCell ref="D42:Q42"/>
    <mergeCell ref="R42:X42"/>
    <mergeCell ref="C114:G114"/>
    <mergeCell ref="H114:L114"/>
    <mergeCell ref="M114:Q114"/>
    <mergeCell ref="R114:X114"/>
    <mergeCell ref="C62:I62"/>
    <mergeCell ref="C63:I63"/>
    <mergeCell ref="C100:G100"/>
    <mergeCell ref="H100:L100"/>
    <mergeCell ref="M100:Q100"/>
    <mergeCell ref="R100:X100"/>
    <mergeCell ref="C101:G101"/>
    <mergeCell ref="H101:L101"/>
    <mergeCell ref="M101:Q101"/>
    <mergeCell ref="R101:X101"/>
    <mergeCell ref="C89:G89"/>
    <mergeCell ref="H89:L89"/>
    <mergeCell ref="M89:Q89"/>
    <mergeCell ref="R89:X89"/>
    <mergeCell ref="C90:G90"/>
    <mergeCell ref="H90:L90"/>
    <mergeCell ref="M90:Q90"/>
    <mergeCell ref="R90:X90"/>
    <mergeCell ref="T66:X66"/>
    <mergeCell ref="C142:I142"/>
    <mergeCell ref="J142:N142"/>
    <mergeCell ref="C115:G115"/>
    <mergeCell ref="H115:L115"/>
    <mergeCell ref="M115:Q115"/>
    <mergeCell ref="R115:X115"/>
    <mergeCell ref="C123:G123"/>
    <mergeCell ref="H123:L123"/>
    <mergeCell ref="M123:Q123"/>
    <mergeCell ref="R123:X123"/>
    <mergeCell ref="J141:N141"/>
    <mergeCell ref="O142:S142"/>
    <mergeCell ref="T142:X142"/>
    <mergeCell ref="C124:G124"/>
    <mergeCell ref="H124:L124"/>
    <mergeCell ref="M124:Q124"/>
    <mergeCell ref="R124:X124"/>
    <mergeCell ref="C133:G133"/>
    <mergeCell ref="H133:L133"/>
    <mergeCell ref="M133:Q133"/>
    <mergeCell ref="R133:X133"/>
    <mergeCell ref="T141:X141"/>
    <mergeCell ref="O141:S141"/>
    <mergeCell ref="C134:G134"/>
    <mergeCell ref="H134:L134"/>
    <mergeCell ref="M134:Q134"/>
    <mergeCell ref="R134:X134"/>
    <mergeCell ref="C141:I141"/>
    <mergeCell ref="C316:Q316"/>
    <mergeCell ref="M348:Q348"/>
    <mergeCell ref="R348:X348"/>
    <mergeCell ref="C343:G343"/>
    <mergeCell ref="H343:L343"/>
    <mergeCell ref="C143:I143"/>
    <mergeCell ref="J143:N143"/>
    <mergeCell ref="O143:S143"/>
    <mergeCell ref="T143:X143"/>
    <mergeCell ref="C144:I144"/>
    <mergeCell ref="J144:N144"/>
    <mergeCell ref="O144:S144"/>
    <mergeCell ref="C149:I149"/>
    <mergeCell ref="J149:N149"/>
    <mergeCell ref="O149:S149"/>
    <mergeCell ref="C165:G165"/>
    <mergeCell ref="H165:L165"/>
    <mergeCell ref="M165:Q165"/>
    <mergeCell ref="R165:X165"/>
    <mergeCell ref="C250:G250"/>
    <mergeCell ref="M295:Q295"/>
    <mergeCell ref="R295:X295"/>
    <mergeCell ref="C296:G296"/>
    <mergeCell ref="H296:L296"/>
    <mergeCell ref="M296:Q296"/>
    <mergeCell ref="R296:X296"/>
    <mergeCell ref="C324:G324"/>
    <mergeCell ref="H250:L250"/>
    <mergeCell ref="M250:Q250"/>
    <mergeCell ref="R250:X250"/>
    <mergeCell ref="C251:G251"/>
    <mergeCell ref="H251:L251"/>
    <mergeCell ref="S275:X275"/>
    <mergeCell ref="C291:G291"/>
    <mergeCell ref="H291:L291"/>
    <mergeCell ref="M291:Q291"/>
    <mergeCell ref="R291:X291"/>
    <mergeCell ref="S303:X303"/>
    <mergeCell ref="S305:X305"/>
    <mergeCell ref="S311:X311"/>
    <mergeCell ref="S313:X313"/>
    <mergeCell ref="S314:X314"/>
    <mergeCell ref="C338:Q338"/>
    <mergeCell ref="S338:X338"/>
    <mergeCell ref="C346:G346"/>
    <mergeCell ref="H346:L346"/>
    <mergeCell ref="C365:G365"/>
    <mergeCell ref="H365:L365"/>
    <mergeCell ref="M365:Q365"/>
    <mergeCell ref="R365:X365"/>
    <mergeCell ref="M346:Q346"/>
    <mergeCell ref="R346:X346"/>
    <mergeCell ref="C347:G347"/>
    <mergeCell ref="H347:L347"/>
    <mergeCell ref="M347:Q347"/>
    <mergeCell ref="R347:X347"/>
    <mergeCell ref="H344:L344"/>
    <mergeCell ref="M344:Q344"/>
    <mergeCell ref="R344:X344"/>
    <mergeCell ref="C345:G345"/>
    <mergeCell ref="H345:L345"/>
    <mergeCell ref="M345:Q345"/>
    <mergeCell ref="R345:X345"/>
    <mergeCell ref="C344:G344"/>
    <mergeCell ref="M357:Q357"/>
    <mergeCell ref="H355:L355"/>
    <mergeCell ref="C367:G367"/>
    <mergeCell ref="C370:G370"/>
    <mergeCell ref="H370:L370"/>
    <mergeCell ref="M370:Q370"/>
    <mergeCell ref="R371:X371"/>
    <mergeCell ref="H372:L372"/>
    <mergeCell ref="M372:Q372"/>
    <mergeCell ref="M371:Q371"/>
    <mergeCell ref="M343:Q343"/>
    <mergeCell ref="R357:X357"/>
    <mergeCell ref="C356:G356"/>
    <mergeCell ref="H356:L356"/>
    <mergeCell ref="M356:Q356"/>
    <mergeCell ref="R356:X356"/>
    <mergeCell ref="C348:G348"/>
    <mergeCell ref="H348:L348"/>
    <mergeCell ref="H360:L360"/>
    <mergeCell ref="R360:X360"/>
    <mergeCell ref="H367:L367"/>
    <mergeCell ref="M367:Q367"/>
    <mergeCell ref="R367:X367"/>
    <mergeCell ref="C368:G368"/>
    <mergeCell ref="H368:L368"/>
    <mergeCell ref="M368:Q368"/>
    <mergeCell ref="C382:G382"/>
    <mergeCell ref="H382:L382"/>
    <mergeCell ref="M382:Q382"/>
    <mergeCell ref="C383:G383"/>
    <mergeCell ref="M369:Q369"/>
    <mergeCell ref="R369:X369"/>
    <mergeCell ref="C371:G371"/>
    <mergeCell ref="C372:G372"/>
    <mergeCell ref="R372:X372"/>
    <mergeCell ref="H377:L377"/>
    <mergeCell ref="M377:Q377"/>
    <mergeCell ref="R377:X377"/>
    <mergeCell ref="C369:G369"/>
    <mergeCell ref="H369:L369"/>
    <mergeCell ref="C386:G386"/>
    <mergeCell ref="H386:L386"/>
    <mergeCell ref="M386:Q386"/>
    <mergeCell ref="H371:L371"/>
    <mergeCell ref="H381:L381"/>
    <mergeCell ref="M381:Q381"/>
    <mergeCell ref="C384:G384"/>
    <mergeCell ref="H384:L384"/>
    <mergeCell ref="M384:Q384"/>
    <mergeCell ref="H383:L383"/>
    <mergeCell ref="M383:Q383"/>
    <mergeCell ref="C385:G385"/>
    <mergeCell ref="H385:L385"/>
    <mergeCell ref="M385:Q385"/>
    <mergeCell ref="C378:G378"/>
    <mergeCell ref="H378:L378"/>
    <mergeCell ref="M378:Q378"/>
    <mergeCell ref="C379:G379"/>
    <mergeCell ref="H379:L379"/>
    <mergeCell ref="M379:Q379"/>
    <mergeCell ref="C380:G380"/>
    <mergeCell ref="H380:L380"/>
    <mergeCell ref="M380:Q380"/>
    <mergeCell ref="C381:G381"/>
    <mergeCell ref="C387:G387"/>
    <mergeCell ref="H387:L387"/>
    <mergeCell ref="M387:Q387"/>
    <mergeCell ref="R387:X387"/>
    <mergeCell ref="C393:G393"/>
    <mergeCell ref="H393:L393"/>
    <mergeCell ref="M393:Q393"/>
    <mergeCell ref="R393:X393"/>
    <mergeCell ref="C401:G401"/>
    <mergeCell ref="H401:L401"/>
    <mergeCell ref="M401:Q401"/>
    <mergeCell ref="R401:X401"/>
    <mergeCell ref="R394:X394"/>
    <mergeCell ref="C395:G395"/>
    <mergeCell ref="H395:L395"/>
    <mergeCell ref="M395:Q395"/>
    <mergeCell ref="R395:X395"/>
    <mergeCell ref="C394:G394"/>
    <mergeCell ref="H394:L394"/>
    <mergeCell ref="M394:Q394"/>
    <mergeCell ref="C406:G406"/>
    <mergeCell ref="H406:L406"/>
    <mergeCell ref="M406:Q406"/>
    <mergeCell ref="R406:X406"/>
    <mergeCell ref="C400:G400"/>
    <mergeCell ref="H400:L400"/>
    <mergeCell ref="M400:Q400"/>
    <mergeCell ref="R400:X400"/>
    <mergeCell ref="C405:G405"/>
    <mergeCell ref="H405:L405"/>
    <mergeCell ref="M405:Q405"/>
    <mergeCell ref="R405:X405"/>
    <mergeCell ref="C404:G404"/>
    <mergeCell ref="H404:L404"/>
    <mergeCell ref="M404:Q404"/>
    <mergeCell ref="R404:X404"/>
    <mergeCell ref="C403:G403"/>
    <mergeCell ref="H403:L403"/>
    <mergeCell ref="M403:Q403"/>
    <mergeCell ref="R403:X403"/>
    <mergeCell ref="C402:G402"/>
    <mergeCell ref="H402:L402"/>
    <mergeCell ref="M402:Q402"/>
    <mergeCell ref="R402:X402"/>
    <mergeCell ref="C415:G415"/>
    <mergeCell ref="H415:L415"/>
    <mergeCell ref="M415:Q415"/>
    <mergeCell ref="R415:X415"/>
    <mergeCell ref="C416:G416"/>
    <mergeCell ref="H416:L416"/>
    <mergeCell ref="M416:Q416"/>
    <mergeCell ref="R416:X416"/>
    <mergeCell ref="C409:G409"/>
    <mergeCell ref="H409:L409"/>
    <mergeCell ref="M409:Q409"/>
    <mergeCell ref="R409:X409"/>
    <mergeCell ref="C410:G410"/>
    <mergeCell ref="H410:L410"/>
    <mergeCell ref="M410:Q410"/>
    <mergeCell ref="R410:X410"/>
    <mergeCell ref="C417:G417"/>
    <mergeCell ref="H417:L417"/>
    <mergeCell ref="M417:Q417"/>
    <mergeCell ref="R417:X417"/>
    <mergeCell ref="C418:G418"/>
    <mergeCell ref="H418:L418"/>
    <mergeCell ref="M418:Q418"/>
    <mergeCell ref="R418:X418"/>
    <mergeCell ref="C411:G411"/>
    <mergeCell ref="H411:L411"/>
    <mergeCell ref="M411:Q411"/>
    <mergeCell ref="R411:X411"/>
    <mergeCell ref="C412:G412"/>
    <mergeCell ref="H412:L412"/>
    <mergeCell ref="M412:Q412"/>
    <mergeCell ref="R412:X412"/>
    <mergeCell ref="C413:G413"/>
    <mergeCell ref="H413:L413"/>
    <mergeCell ref="M413:Q413"/>
    <mergeCell ref="R413:X413"/>
    <mergeCell ref="C414:G414"/>
    <mergeCell ref="H414:L414"/>
    <mergeCell ref="M414:Q414"/>
    <mergeCell ref="R414:X414"/>
    <mergeCell ref="C427:G427"/>
    <mergeCell ref="H427:L427"/>
    <mergeCell ref="M427:Q427"/>
    <mergeCell ref="R427:X427"/>
    <mergeCell ref="C428:G428"/>
    <mergeCell ref="H428:L428"/>
    <mergeCell ref="M428:Q428"/>
    <mergeCell ref="R428:X428"/>
    <mergeCell ref="C424:G424"/>
    <mergeCell ref="H424:L424"/>
    <mergeCell ref="M424:Q424"/>
    <mergeCell ref="R424:X424"/>
    <mergeCell ref="C425:G425"/>
    <mergeCell ref="H425:L425"/>
    <mergeCell ref="M425:Q425"/>
    <mergeCell ref="R425:X425"/>
    <mergeCell ref="C426:G426"/>
    <mergeCell ref="H426:L426"/>
    <mergeCell ref="M426:Q426"/>
    <mergeCell ref="R426:X426"/>
    <mergeCell ref="C429:G429"/>
    <mergeCell ref="H429:L429"/>
    <mergeCell ref="M429:Q429"/>
    <mergeCell ref="R429:X429"/>
    <mergeCell ref="C433:G433"/>
    <mergeCell ref="H433:L433"/>
    <mergeCell ref="M433:Q433"/>
    <mergeCell ref="R433:X433"/>
    <mergeCell ref="C434:G434"/>
    <mergeCell ref="H434:L434"/>
    <mergeCell ref="M434:Q434"/>
    <mergeCell ref="R434:X434"/>
    <mergeCell ref="C432:G432"/>
    <mergeCell ref="H432:L432"/>
    <mergeCell ref="M432:Q432"/>
    <mergeCell ref="R432:X432"/>
    <mergeCell ref="C438:G438"/>
    <mergeCell ref="H438:L438"/>
    <mergeCell ref="M438:Q438"/>
    <mergeCell ref="R438:X438"/>
    <mergeCell ref="C439:G439"/>
    <mergeCell ref="H439:L439"/>
    <mergeCell ref="M439:Q439"/>
    <mergeCell ref="R439:X439"/>
    <mergeCell ref="C435:G435"/>
    <mergeCell ref="H435:L435"/>
    <mergeCell ref="M435:Q435"/>
    <mergeCell ref="R435:X435"/>
    <mergeCell ref="C436:G436"/>
    <mergeCell ref="H436:L436"/>
    <mergeCell ref="M436:Q436"/>
    <mergeCell ref="R436:X436"/>
    <mergeCell ref="C437:G437"/>
    <mergeCell ref="H437:L437"/>
    <mergeCell ref="M437:Q437"/>
    <mergeCell ref="R437:X437"/>
    <mergeCell ref="C445:G445"/>
    <mergeCell ref="H445:L445"/>
    <mergeCell ref="M445:Q445"/>
    <mergeCell ref="R445:X445"/>
    <mergeCell ref="C446:G446"/>
    <mergeCell ref="H446:L446"/>
    <mergeCell ref="M446:Q446"/>
    <mergeCell ref="R446:X446"/>
    <mergeCell ref="C440:G440"/>
    <mergeCell ref="H440:L440"/>
    <mergeCell ref="M440:Q440"/>
    <mergeCell ref="R440:X440"/>
    <mergeCell ref="C443:G443"/>
    <mergeCell ref="H443:L443"/>
    <mergeCell ref="M443:Q443"/>
    <mergeCell ref="R443:X443"/>
    <mergeCell ref="C444:G444"/>
    <mergeCell ref="H444:L444"/>
    <mergeCell ref="M444:Q444"/>
    <mergeCell ref="R444:X444"/>
    <mergeCell ref="C453:G453"/>
    <mergeCell ref="H453:L453"/>
    <mergeCell ref="M453:Q453"/>
    <mergeCell ref="R453:X453"/>
    <mergeCell ref="C454:G454"/>
    <mergeCell ref="H454:L454"/>
    <mergeCell ref="M454:Q454"/>
    <mergeCell ref="R454:X454"/>
    <mergeCell ref="C447:G447"/>
    <mergeCell ref="H447:L447"/>
    <mergeCell ref="M447:Q447"/>
    <mergeCell ref="R447:X447"/>
    <mergeCell ref="C451:G451"/>
    <mergeCell ref="H451:L451"/>
    <mergeCell ref="M451:Q451"/>
    <mergeCell ref="R451:X451"/>
    <mergeCell ref="C452:G452"/>
    <mergeCell ref="H452:L452"/>
    <mergeCell ref="M452:Q452"/>
    <mergeCell ref="R452:X452"/>
    <mergeCell ref="H324:L324"/>
    <mergeCell ref="M324:Q324"/>
    <mergeCell ref="R324:X324"/>
    <mergeCell ref="C325:G325"/>
    <mergeCell ref="H325:L325"/>
    <mergeCell ref="M325:Q325"/>
    <mergeCell ref="R325:X325"/>
    <mergeCell ref="C326:G326"/>
    <mergeCell ref="H326:L326"/>
    <mergeCell ref="M326:Q326"/>
    <mergeCell ref="R27:X27"/>
    <mergeCell ref="C28:Q28"/>
    <mergeCell ref="R28:X28"/>
    <mergeCell ref="R36:X36"/>
    <mergeCell ref="C33:Q33"/>
    <mergeCell ref="R33:X33"/>
    <mergeCell ref="D34:J34"/>
    <mergeCell ref="D35:J35"/>
    <mergeCell ref="K34:Q34"/>
    <mergeCell ref="K35:Q35"/>
    <mergeCell ref="R34:X34"/>
    <mergeCell ref="R35:X35"/>
    <mergeCell ref="K29:Q29"/>
    <mergeCell ref="D29:J29"/>
    <mergeCell ref="R29:X29"/>
    <mergeCell ref="C27:Q27"/>
    <mergeCell ref="S237:X237"/>
    <mergeCell ref="S230:X230"/>
    <mergeCell ref="S235:X235"/>
    <mergeCell ref="S238:X238"/>
    <mergeCell ref="S193:X193"/>
    <mergeCell ref="R249:X249"/>
    <mergeCell ref="S194:X194"/>
    <mergeCell ref="S195:X195"/>
    <mergeCell ref="S196:X196"/>
    <mergeCell ref="S197:X197"/>
    <mergeCell ref="S198:X198"/>
    <mergeCell ref="S207:X207"/>
    <mergeCell ref="S202:X202"/>
    <mergeCell ref="S203:X203"/>
    <mergeCell ref="S204:X204"/>
    <mergeCell ref="S206:X206"/>
    <mergeCell ref="S219:X219"/>
    <mergeCell ref="S225:X225"/>
    <mergeCell ref="S226:X226"/>
    <mergeCell ref="S227:X227"/>
    <mergeCell ref="S209:X209"/>
    <mergeCell ref="S213:X213"/>
    <mergeCell ref="S214:X214"/>
    <mergeCell ref="S216:X216"/>
    <mergeCell ref="S280:X280"/>
    <mergeCell ref="S281:X281"/>
    <mergeCell ref="S255:X255"/>
    <mergeCell ref="S279:X279"/>
    <mergeCell ref="S284:X284"/>
    <mergeCell ref="S276:X276"/>
    <mergeCell ref="S277:X277"/>
    <mergeCell ref="S278:X278"/>
    <mergeCell ref="S274:X274"/>
    <mergeCell ref="S262:X262"/>
    <mergeCell ref="S270:X270"/>
    <mergeCell ref="S283:X283"/>
    <mergeCell ref="S470:X470"/>
    <mergeCell ref="S471:X471"/>
    <mergeCell ref="S472:X472"/>
    <mergeCell ref="S316:X316"/>
    <mergeCell ref="R381:X381"/>
    <mergeCell ref="R370:X370"/>
    <mergeCell ref="R343:X343"/>
    <mergeCell ref="S334:X334"/>
    <mergeCell ref="S335:X335"/>
    <mergeCell ref="R386:X386"/>
    <mergeCell ref="R368:X368"/>
    <mergeCell ref="R384:X384"/>
    <mergeCell ref="R382:X382"/>
    <mergeCell ref="R385:X385"/>
    <mergeCell ref="R383:X383"/>
    <mergeCell ref="R378:X378"/>
    <mergeCell ref="R379:X379"/>
    <mergeCell ref="R380:X380"/>
    <mergeCell ref="R463:X463"/>
    <mergeCell ref="S336:X336"/>
    <mergeCell ref="S332:X332"/>
    <mergeCell ref="S315:X315"/>
    <mergeCell ref="S330:X330"/>
    <mergeCell ref="S331:X331"/>
    <mergeCell ref="R326:X326"/>
    <mergeCell ref="S467:X467"/>
    <mergeCell ref="S468:X468"/>
    <mergeCell ref="S337:X337"/>
    <mergeCell ref="C556:G556"/>
    <mergeCell ref="H556:L556"/>
    <mergeCell ref="M556:Q556"/>
    <mergeCell ref="R556:X556"/>
    <mergeCell ref="S473:X473"/>
    <mergeCell ref="S484:X484"/>
    <mergeCell ref="S485:X485"/>
    <mergeCell ref="C554:G554"/>
    <mergeCell ref="H554:L554"/>
    <mergeCell ref="R554:X554"/>
    <mergeCell ref="C555:G555"/>
    <mergeCell ref="H555:L555"/>
    <mergeCell ref="R555:X555"/>
    <mergeCell ref="C480:G480"/>
    <mergeCell ref="H480:L480"/>
    <mergeCell ref="M480:Q480"/>
    <mergeCell ref="R480:X480"/>
    <mergeCell ref="C476:G476"/>
    <mergeCell ref="H476:L476"/>
    <mergeCell ref="M476:Q476"/>
    <mergeCell ref="R476:X476"/>
    <mergeCell ref="C477:G477"/>
    <mergeCell ref="H477:L477"/>
    <mergeCell ref="M477:Q477"/>
    <mergeCell ref="E239:Q239"/>
    <mergeCell ref="S239:X239"/>
    <mergeCell ref="S256:X256"/>
    <mergeCell ref="S258:X258"/>
    <mergeCell ref="S259:X259"/>
    <mergeCell ref="S260:X260"/>
    <mergeCell ref="S307:X307"/>
    <mergeCell ref="S308:X308"/>
    <mergeCell ref="S310:X310"/>
    <mergeCell ref="S304:X304"/>
    <mergeCell ref="C286:Q286"/>
    <mergeCell ref="S285:X285"/>
    <mergeCell ref="S286:X286"/>
    <mergeCell ref="C292:G292"/>
    <mergeCell ref="H292:L292"/>
    <mergeCell ref="M292:Q292"/>
    <mergeCell ref="R292:X292"/>
    <mergeCell ref="S184:X184"/>
    <mergeCell ref="S185:X185"/>
    <mergeCell ref="S188:X188"/>
    <mergeCell ref="S189:X189"/>
    <mergeCell ref="S190:X190"/>
    <mergeCell ref="S191:X191"/>
    <mergeCell ref="S192:X192"/>
    <mergeCell ref="S200:X200"/>
    <mergeCell ref="S229:X229"/>
    <mergeCell ref="S228:X228"/>
    <mergeCell ref="S208:X208"/>
    <mergeCell ref="S210:X210"/>
    <mergeCell ref="S211:X211"/>
    <mergeCell ref="S218:X218"/>
    <mergeCell ref="S224:X224"/>
    <mergeCell ref="S217:X217"/>
    <mergeCell ref="S220:X220"/>
    <mergeCell ref="S221:X221"/>
    <mergeCell ref="S223:X223"/>
    <mergeCell ref="S302:X302"/>
    <mergeCell ref="S300:X300"/>
    <mergeCell ref="S301:X301"/>
    <mergeCell ref="C293:G293"/>
    <mergeCell ref="H293:L293"/>
    <mergeCell ref="M293:Q293"/>
    <mergeCell ref="R293:X293"/>
    <mergeCell ref="C294:G294"/>
    <mergeCell ref="H294:L294"/>
    <mergeCell ref="M294:Q294"/>
    <mergeCell ref="R294:X294"/>
    <mergeCell ref="C295:G295"/>
    <mergeCell ref="H295:L295"/>
    <mergeCell ref="S299:X299"/>
  </mergeCells>
  <printOptions horizontalCentered="1"/>
  <pageMargins left="0.59055118110236227" right="0.31496062992125984" top="0.74803149606299213" bottom="0.74803149606299213" header="0.31496062992125984" footer="0.31496062992125984"/>
  <pageSetup paperSize="14" scale="85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F83E0-A52E-4567-B655-DECA3397A7CE}">
  <sheetPr filterMode="1">
    <tabColor rgb="FF7030A0"/>
  </sheetPr>
  <dimension ref="A1:WVD923"/>
  <sheetViews>
    <sheetView showGridLines="0" topLeftCell="A638" zoomScaleNormal="100" zoomScaleSheetLayoutView="70" zoomScalePageLayoutView="50" workbookViewId="0">
      <selection activeCell="S11" sqref="S11"/>
    </sheetView>
  </sheetViews>
  <sheetFormatPr defaultColWidth="9.140625" defaultRowHeight="27.95" customHeight="1"/>
  <cols>
    <col min="1" max="1" width="4.28515625" style="110" customWidth="1"/>
    <col min="2" max="2" width="12.28515625" style="103" hidden="1" customWidth="1"/>
    <col min="3" max="5" width="4.28515625" style="109" customWidth="1"/>
    <col min="6" max="6" width="5.140625" style="104" customWidth="1"/>
    <col min="7" max="7" width="4.5703125" style="105" customWidth="1"/>
    <col min="8" max="8" width="46.7109375" style="104" customWidth="1"/>
    <col min="9" max="9" width="28.28515625" style="104" customWidth="1"/>
    <col min="10" max="10" width="6.140625" style="106" customWidth="1"/>
    <col min="11" max="11" width="4.5703125" style="104" customWidth="1"/>
    <col min="12" max="12" width="10" style="104" customWidth="1"/>
    <col min="13" max="13" width="18" style="104" customWidth="1"/>
    <col min="14" max="14" width="10.140625" style="109" customWidth="1"/>
    <col min="15" max="15" width="7" style="104" customWidth="1"/>
    <col min="16" max="16" width="10" style="104" customWidth="1"/>
    <col min="17" max="17" width="15.7109375" style="104" customWidth="1"/>
    <col min="18" max="18" width="9.140625" style="104" customWidth="1"/>
    <col min="19" max="19" width="11.85546875" style="104" customWidth="1"/>
    <col min="20" max="20" width="10.42578125" style="104" customWidth="1"/>
    <col min="21" max="21" width="16.140625" style="104" customWidth="1"/>
    <col min="22" max="22" width="11.85546875" style="108" customWidth="1"/>
    <col min="23" max="23" width="26.140625" style="111" customWidth="1"/>
    <col min="24" max="238" width="9.140625" style="111"/>
    <col min="239" max="239" width="4.5703125" style="111" customWidth="1"/>
    <col min="240" max="240" width="21.85546875" style="111" customWidth="1"/>
    <col min="241" max="241" width="22.140625" style="111" customWidth="1"/>
    <col min="242" max="242" width="11.5703125" style="111" customWidth="1"/>
    <col min="243" max="245" width="3.5703125" style="111" customWidth="1"/>
    <col min="246" max="246" width="9.5703125" style="111" customWidth="1"/>
    <col min="247" max="247" width="18.85546875" style="111" customWidth="1"/>
    <col min="248" max="248" width="11.5703125" style="111" customWidth="1"/>
    <col min="249" max="249" width="16.42578125" style="111" customWidth="1"/>
    <col min="250" max="250" width="17.5703125" style="111" customWidth="1"/>
    <col min="251" max="251" width="10.5703125" style="111" customWidth="1"/>
    <col min="252" max="494" width="9.140625" style="111"/>
    <col min="495" max="495" width="4.5703125" style="111" customWidth="1"/>
    <col min="496" max="496" width="21.85546875" style="111" customWidth="1"/>
    <col min="497" max="497" width="22.140625" style="111" customWidth="1"/>
    <col min="498" max="498" width="11.5703125" style="111" customWidth="1"/>
    <col min="499" max="501" width="3.5703125" style="111" customWidth="1"/>
    <col min="502" max="502" width="9.5703125" style="111" customWidth="1"/>
    <col min="503" max="503" width="18.85546875" style="111" customWidth="1"/>
    <col min="504" max="504" width="11.5703125" style="111" customWidth="1"/>
    <col min="505" max="505" width="16.42578125" style="111" customWidth="1"/>
    <col min="506" max="506" width="17.5703125" style="111" customWidth="1"/>
    <col min="507" max="507" width="10.5703125" style="111" customWidth="1"/>
    <col min="508" max="750" width="9.140625" style="111"/>
    <col min="751" max="751" width="4.5703125" style="111" customWidth="1"/>
    <col min="752" max="752" width="21.85546875" style="111" customWidth="1"/>
    <col min="753" max="753" width="22.140625" style="111" customWidth="1"/>
    <col min="754" max="754" width="11.5703125" style="111" customWidth="1"/>
    <col min="755" max="757" width="3.5703125" style="111" customWidth="1"/>
    <col min="758" max="758" width="9.5703125" style="111" customWidth="1"/>
    <col min="759" max="759" width="18.85546875" style="111" customWidth="1"/>
    <col min="760" max="760" width="11.5703125" style="111" customWidth="1"/>
    <col min="761" max="761" width="16.42578125" style="111" customWidth="1"/>
    <col min="762" max="762" width="17.5703125" style="111" customWidth="1"/>
    <col min="763" max="763" width="10.5703125" style="111" customWidth="1"/>
    <col min="764" max="1006" width="9.140625" style="111"/>
    <col min="1007" max="1007" width="4.5703125" style="111" customWidth="1"/>
    <col min="1008" max="1008" width="21.85546875" style="111" customWidth="1"/>
    <col min="1009" max="1009" width="22.140625" style="111" customWidth="1"/>
    <col min="1010" max="1010" width="11.5703125" style="111" customWidth="1"/>
    <col min="1011" max="1013" width="3.5703125" style="111" customWidth="1"/>
    <col min="1014" max="1014" width="9.5703125" style="111" customWidth="1"/>
    <col min="1015" max="1015" width="18.85546875" style="111" customWidth="1"/>
    <col min="1016" max="1016" width="11.5703125" style="111" customWidth="1"/>
    <col min="1017" max="1017" width="16.42578125" style="111" customWidth="1"/>
    <col min="1018" max="1018" width="17.5703125" style="111" customWidth="1"/>
    <col min="1019" max="1019" width="10.5703125" style="111" customWidth="1"/>
    <col min="1020" max="1262" width="9.140625" style="111"/>
    <col min="1263" max="1263" width="4.5703125" style="111" customWidth="1"/>
    <col min="1264" max="1264" width="21.85546875" style="111" customWidth="1"/>
    <col min="1265" max="1265" width="22.140625" style="111" customWidth="1"/>
    <col min="1266" max="1266" width="11.5703125" style="111" customWidth="1"/>
    <col min="1267" max="1269" width="3.5703125" style="111" customWidth="1"/>
    <col min="1270" max="1270" width="9.5703125" style="111" customWidth="1"/>
    <col min="1271" max="1271" width="18.85546875" style="111" customWidth="1"/>
    <col min="1272" max="1272" width="11.5703125" style="111" customWidth="1"/>
    <col min="1273" max="1273" width="16.42578125" style="111" customWidth="1"/>
    <col min="1274" max="1274" width="17.5703125" style="111" customWidth="1"/>
    <col min="1275" max="1275" width="10.5703125" style="111" customWidth="1"/>
    <col min="1276" max="1518" width="9.140625" style="111"/>
    <col min="1519" max="1519" width="4.5703125" style="111" customWidth="1"/>
    <col min="1520" max="1520" width="21.85546875" style="111" customWidth="1"/>
    <col min="1521" max="1521" width="22.140625" style="111" customWidth="1"/>
    <col min="1522" max="1522" width="11.5703125" style="111" customWidth="1"/>
    <col min="1523" max="1525" width="3.5703125" style="111" customWidth="1"/>
    <col min="1526" max="1526" width="9.5703125" style="111" customWidth="1"/>
    <col min="1527" max="1527" width="18.85546875" style="111" customWidth="1"/>
    <col min="1528" max="1528" width="11.5703125" style="111" customWidth="1"/>
    <col min="1529" max="1529" width="16.42578125" style="111" customWidth="1"/>
    <col min="1530" max="1530" width="17.5703125" style="111" customWidth="1"/>
    <col min="1531" max="1531" width="10.5703125" style="111" customWidth="1"/>
    <col min="1532" max="1774" width="9.140625" style="111"/>
    <col min="1775" max="1775" width="4.5703125" style="111" customWidth="1"/>
    <col min="1776" max="1776" width="21.85546875" style="111" customWidth="1"/>
    <col min="1777" max="1777" width="22.140625" style="111" customWidth="1"/>
    <col min="1778" max="1778" width="11.5703125" style="111" customWidth="1"/>
    <col min="1779" max="1781" width="3.5703125" style="111" customWidth="1"/>
    <col min="1782" max="1782" width="9.5703125" style="111" customWidth="1"/>
    <col min="1783" max="1783" width="18.85546875" style="111" customWidth="1"/>
    <col min="1784" max="1784" width="11.5703125" style="111" customWidth="1"/>
    <col min="1785" max="1785" width="16.42578125" style="111" customWidth="1"/>
    <col min="1786" max="1786" width="17.5703125" style="111" customWidth="1"/>
    <col min="1787" max="1787" width="10.5703125" style="111" customWidth="1"/>
    <col min="1788" max="2030" width="9.140625" style="111"/>
    <col min="2031" max="2031" width="4.5703125" style="111" customWidth="1"/>
    <col min="2032" max="2032" width="21.85546875" style="111" customWidth="1"/>
    <col min="2033" max="2033" width="22.140625" style="111" customWidth="1"/>
    <col min="2034" max="2034" width="11.5703125" style="111" customWidth="1"/>
    <col min="2035" max="2037" width="3.5703125" style="111" customWidth="1"/>
    <col min="2038" max="2038" width="9.5703125" style="111" customWidth="1"/>
    <col min="2039" max="2039" width="18.85546875" style="111" customWidth="1"/>
    <col min="2040" max="2040" width="11.5703125" style="111" customWidth="1"/>
    <col min="2041" max="2041" width="16.42578125" style="111" customWidth="1"/>
    <col min="2042" max="2042" width="17.5703125" style="111" customWidth="1"/>
    <col min="2043" max="2043" width="10.5703125" style="111" customWidth="1"/>
    <col min="2044" max="2286" width="9.140625" style="111"/>
    <col min="2287" max="2287" width="4.5703125" style="111" customWidth="1"/>
    <col min="2288" max="2288" width="21.85546875" style="111" customWidth="1"/>
    <col min="2289" max="2289" width="22.140625" style="111" customWidth="1"/>
    <col min="2290" max="2290" width="11.5703125" style="111" customWidth="1"/>
    <col min="2291" max="2293" width="3.5703125" style="111" customWidth="1"/>
    <col min="2294" max="2294" width="9.5703125" style="111" customWidth="1"/>
    <col min="2295" max="2295" width="18.85546875" style="111" customWidth="1"/>
    <col min="2296" max="2296" width="11.5703125" style="111" customWidth="1"/>
    <col min="2297" max="2297" width="16.42578125" style="111" customWidth="1"/>
    <col min="2298" max="2298" width="17.5703125" style="111" customWidth="1"/>
    <col min="2299" max="2299" width="10.5703125" style="111" customWidth="1"/>
    <col min="2300" max="2542" width="9.140625" style="111"/>
    <col min="2543" max="2543" width="4.5703125" style="111" customWidth="1"/>
    <col min="2544" max="2544" width="21.85546875" style="111" customWidth="1"/>
    <col min="2545" max="2545" width="22.140625" style="111" customWidth="1"/>
    <col min="2546" max="2546" width="11.5703125" style="111" customWidth="1"/>
    <col min="2547" max="2549" width="3.5703125" style="111" customWidth="1"/>
    <col min="2550" max="2550" width="9.5703125" style="111" customWidth="1"/>
    <col min="2551" max="2551" width="18.85546875" style="111" customWidth="1"/>
    <col min="2552" max="2552" width="11.5703125" style="111" customWidth="1"/>
    <col min="2553" max="2553" width="16.42578125" style="111" customWidth="1"/>
    <col min="2554" max="2554" width="17.5703125" style="111" customWidth="1"/>
    <col min="2555" max="2555" width="10.5703125" style="111" customWidth="1"/>
    <col min="2556" max="2798" width="9.140625" style="111"/>
    <col min="2799" max="2799" width="4.5703125" style="111" customWidth="1"/>
    <col min="2800" max="2800" width="21.85546875" style="111" customWidth="1"/>
    <col min="2801" max="2801" width="22.140625" style="111" customWidth="1"/>
    <col min="2802" max="2802" width="11.5703125" style="111" customWidth="1"/>
    <col min="2803" max="2805" width="3.5703125" style="111" customWidth="1"/>
    <col min="2806" max="2806" width="9.5703125" style="111" customWidth="1"/>
    <col min="2807" max="2807" width="18.85546875" style="111" customWidth="1"/>
    <col min="2808" max="2808" width="11.5703125" style="111" customWidth="1"/>
    <col min="2809" max="2809" width="16.42578125" style="111" customWidth="1"/>
    <col min="2810" max="2810" width="17.5703125" style="111" customWidth="1"/>
    <col min="2811" max="2811" width="10.5703125" style="111" customWidth="1"/>
    <col min="2812" max="3054" width="9.140625" style="111"/>
    <col min="3055" max="3055" width="4.5703125" style="111" customWidth="1"/>
    <col min="3056" max="3056" width="21.85546875" style="111" customWidth="1"/>
    <col min="3057" max="3057" width="22.140625" style="111" customWidth="1"/>
    <col min="3058" max="3058" width="11.5703125" style="111" customWidth="1"/>
    <col min="3059" max="3061" width="3.5703125" style="111" customWidth="1"/>
    <col min="3062" max="3062" width="9.5703125" style="111" customWidth="1"/>
    <col min="3063" max="3063" width="18.85546875" style="111" customWidth="1"/>
    <col min="3064" max="3064" width="11.5703125" style="111" customWidth="1"/>
    <col min="3065" max="3065" width="16.42578125" style="111" customWidth="1"/>
    <col min="3066" max="3066" width="17.5703125" style="111" customWidth="1"/>
    <col min="3067" max="3067" width="10.5703125" style="111" customWidth="1"/>
    <col min="3068" max="3310" width="9.140625" style="111"/>
    <col min="3311" max="3311" width="4.5703125" style="111" customWidth="1"/>
    <col min="3312" max="3312" width="21.85546875" style="111" customWidth="1"/>
    <col min="3313" max="3313" width="22.140625" style="111" customWidth="1"/>
    <col min="3314" max="3314" width="11.5703125" style="111" customWidth="1"/>
    <col min="3315" max="3317" width="3.5703125" style="111" customWidth="1"/>
    <col min="3318" max="3318" width="9.5703125" style="111" customWidth="1"/>
    <col min="3319" max="3319" width="18.85546875" style="111" customWidth="1"/>
    <col min="3320" max="3320" width="11.5703125" style="111" customWidth="1"/>
    <col min="3321" max="3321" width="16.42578125" style="111" customWidth="1"/>
    <col min="3322" max="3322" width="17.5703125" style="111" customWidth="1"/>
    <col min="3323" max="3323" width="10.5703125" style="111" customWidth="1"/>
    <col min="3324" max="3566" width="9.140625" style="111"/>
    <col min="3567" max="3567" width="4.5703125" style="111" customWidth="1"/>
    <col min="3568" max="3568" width="21.85546875" style="111" customWidth="1"/>
    <col min="3569" max="3569" width="22.140625" style="111" customWidth="1"/>
    <col min="3570" max="3570" width="11.5703125" style="111" customWidth="1"/>
    <col min="3571" max="3573" width="3.5703125" style="111" customWidth="1"/>
    <col min="3574" max="3574" width="9.5703125" style="111" customWidth="1"/>
    <col min="3575" max="3575" width="18.85546875" style="111" customWidth="1"/>
    <col min="3576" max="3576" width="11.5703125" style="111" customWidth="1"/>
    <col min="3577" max="3577" width="16.42578125" style="111" customWidth="1"/>
    <col min="3578" max="3578" width="17.5703125" style="111" customWidth="1"/>
    <col min="3579" max="3579" width="10.5703125" style="111" customWidth="1"/>
    <col min="3580" max="3822" width="9.140625" style="111"/>
    <col min="3823" max="3823" width="4.5703125" style="111" customWidth="1"/>
    <col min="3824" max="3824" width="21.85546875" style="111" customWidth="1"/>
    <col min="3825" max="3825" width="22.140625" style="111" customWidth="1"/>
    <col min="3826" max="3826" width="11.5703125" style="111" customWidth="1"/>
    <col min="3827" max="3829" width="3.5703125" style="111" customWidth="1"/>
    <col min="3830" max="3830" width="9.5703125" style="111" customWidth="1"/>
    <col min="3831" max="3831" width="18.85546875" style="111" customWidth="1"/>
    <col min="3832" max="3832" width="11.5703125" style="111" customWidth="1"/>
    <col min="3833" max="3833" width="16.42578125" style="111" customWidth="1"/>
    <col min="3834" max="3834" width="17.5703125" style="111" customWidth="1"/>
    <col min="3835" max="3835" width="10.5703125" style="111" customWidth="1"/>
    <col min="3836" max="4078" width="9.140625" style="111"/>
    <col min="4079" max="4079" width="4.5703125" style="111" customWidth="1"/>
    <col min="4080" max="4080" width="21.85546875" style="111" customWidth="1"/>
    <col min="4081" max="4081" width="22.140625" style="111" customWidth="1"/>
    <col min="4082" max="4082" width="11.5703125" style="111" customWidth="1"/>
    <col min="4083" max="4085" width="3.5703125" style="111" customWidth="1"/>
    <col min="4086" max="4086" width="9.5703125" style="111" customWidth="1"/>
    <col min="4087" max="4087" width="18.85546875" style="111" customWidth="1"/>
    <col min="4088" max="4088" width="11.5703125" style="111" customWidth="1"/>
    <col min="4089" max="4089" width="16.42578125" style="111" customWidth="1"/>
    <col min="4090" max="4090" width="17.5703125" style="111" customWidth="1"/>
    <col min="4091" max="4091" width="10.5703125" style="111" customWidth="1"/>
    <col min="4092" max="4334" width="9.140625" style="111"/>
    <col min="4335" max="4335" width="4.5703125" style="111" customWidth="1"/>
    <col min="4336" max="4336" width="21.85546875" style="111" customWidth="1"/>
    <col min="4337" max="4337" width="22.140625" style="111" customWidth="1"/>
    <col min="4338" max="4338" width="11.5703125" style="111" customWidth="1"/>
    <col min="4339" max="4341" width="3.5703125" style="111" customWidth="1"/>
    <col min="4342" max="4342" width="9.5703125" style="111" customWidth="1"/>
    <col min="4343" max="4343" width="18.85546875" style="111" customWidth="1"/>
    <col min="4344" max="4344" width="11.5703125" style="111" customWidth="1"/>
    <col min="4345" max="4345" width="16.42578125" style="111" customWidth="1"/>
    <col min="4346" max="4346" width="17.5703125" style="111" customWidth="1"/>
    <col min="4347" max="4347" width="10.5703125" style="111" customWidth="1"/>
    <col min="4348" max="4590" width="9.140625" style="111"/>
    <col min="4591" max="4591" width="4.5703125" style="111" customWidth="1"/>
    <col min="4592" max="4592" width="21.85546875" style="111" customWidth="1"/>
    <col min="4593" max="4593" width="22.140625" style="111" customWidth="1"/>
    <col min="4594" max="4594" width="11.5703125" style="111" customWidth="1"/>
    <col min="4595" max="4597" width="3.5703125" style="111" customWidth="1"/>
    <col min="4598" max="4598" width="9.5703125" style="111" customWidth="1"/>
    <col min="4599" max="4599" width="18.85546875" style="111" customWidth="1"/>
    <col min="4600" max="4600" width="11.5703125" style="111" customWidth="1"/>
    <col min="4601" max="4601" width="16.42578125" style="111" customWidth="1"/>
    <col min="4602" max="4602" width="17.5703125" style="111" customWidth="1"/>
    <col min="4603" max="4603" width="10.5703125" style="111" customWidth="1"/>
    <col min="4604" max="4846" width="9.140625" style="111"/>
    <col min="4847" max="4847" width="4.5703125" style="111" customWidth="1"/>
    <col min="4848" max="4848" width="21.85546875" style="111" customWidth="1"/>
    <col min="4849" max="4849" width="22.140625" style="111" customWidth="1"/>
    <col min="4850" max="4850" width="11.5703125" style="111" customWidth="1"/>
    <col min="4851" max="4853" width="3.5703125" style="111" customWidth="1"/>
    <col min="4854" max="4854" width="9.5703125" style="111" customWidth="1"/>
    <col min="4855" max="4855" width="18.85546875" style="111" customWidth="1"/>
    <col min="4856" max="4856" width="11.5703125" style="111" customWidth="1"/>
    <col min="4857" max="4857" width="16.42578125" style="111" customWidth="1"/>
    <col min="4858" max="4858" width="17.5703125" style="111" customWidth="1"/>
    <col min="4859" max="4859" width="10.5703125" style="111" customWidth="1"/>
    <col min="4860" max="5102" width="9.140625" style="111"/>
    <col min="5103" max="5103" width="4.5703125" style="111" customWidth="1"/>
    <col min="5104" max="5104" width="21.85546875" style="111" customWidth="1"/>
    <col min="5105" max="5105" width="22.140625" style="111" customWidth="1"/>
    <col min="5106" max="5106" width="11.5703125" style="111" customWidth="1"/>
    <col min="5107" max="5109" width="3.5703125" style="111" customWidth="1"/>
    <col min="5110" max="5110" width="9.5703125" style="111" customWidth="1"/>
    <col min="5111" max="5111" width="18.85546875" style="111" customWidth="1"/>
    <col min="5112" max="5112" width="11.5703125" style="111" customWidth="1"/>
    <col min="5113" max="5113" width="16.42578125" style="111" customWidth="1"/>
    <col min="5114" max="5114" width="17.5703125" style="111" customWidth="1"/>
    <col min="5115" max="5115" width="10.5703125" style="111" customWidth="1"/>
    <col min="5116" max="5358" width="9.140625" style="111"/>
    <col min="5359" max="5359" width="4.5703125" style="111" customWidth="1"/>
    <col min="5360" max="5360" width="21.85546875" style="111" customWidth="1"/>
    <col min="5361" max="5361" width="22.140625" style="111" customWidth="1"/>
    <col min="5362" max="5362" width="11.5703125" style="111" customWidth="1"/>
    <col min="5363" max="5365" width="3.5703125" style="111" customWidth="1"/>
    <col min="5366" max="5366" width="9.5703125" style="111" customWidth="1"/>
    <col min="5367" max="5367" width="18.85546875" style="111" customWidth="1"/>
    <col min="5368" max="5368" width="11.5703125" style="111" customWidth="1"/>
    <col min="5369" max="5369" width="16.42578125" style="111" customWidth="1"/>
    <col min="5370" max="5370" width="17.5703125" style="111" customWidth="1"/>
    <col min="5371" max="5371" width="10.5703125" style="111" customWidth="1"/>
    <col min="5372" max="5614" width="9.140625" style="111"/>
    <col min="5615" max="5615" width="4.5703125" style="111" customWidth="1"/>
    <col min="5616" max="5616" width="21.85546875" style="111" customWidth="1"/>
    <col min="5617" max="5617" width="22.140625" style="111" customWidth="1"/>
    <col min="5618" max="5618" width="11.5703125" style="111" customWidth="1"/>
    <col min="5619" max="5621" width="3.5703125" style="111" customWidth="1"/>
    <col min="5622" max="5622" width="9.5703125" style="111" customWidth="1"/>
    <col min="5623" max="5623" width="18.85546875" style="111" customWidth="1"/>
    <col min="5624" max="5624" width="11.5703125" style="111" customWidth="1"/>
    <col min="5625" max="5625" width="16.42578125" style="111" customWidth="1"/>
    <col min="5626" max="5626" width="17.5703125" style="111" customWidth="1"/>
    <col min="5627" max="5627" width="10.5703125" style="111" customWidth="1"/>
    <col min="5628" max="5870" width="9.140625" style="111"/>
    <col min="5871" max="5871" width="4.5703125" style="111" customWidth="1"/>
    <col min="5872" max="5872" width="21.85546875" style="111" customWidth="1"/>
    <col min="5873" max="5873" width="22.140625" style="111" customWidth="1"/>
    <col min="5874" max="5874" width="11.5703125" style="111" customWidth="1"/>
    <col min="5875" max="5877" width="3.5703125" style="111" customWidth="1"/>
    <col min="5878" max="5878" width="9.5703125" style="111" customWidth="1"/>
    <col min="5879" max="5879" width="18.85546875" style="111" customWidth="1"/>
    <col min="5880" max="5880" width="11.5703125" style="111" customWidth="1"/>
    <col min="5881" max="5881" width="16.42578125" style="111" customWidth="1"/>
    <col min="5882" max="5882" width="17.5703125" style="111" customWidth="1"/>
    <col min="5883" max="5883" width="10.5703125" style="111" customWidth="1"/>
    <col min="5884" max="6126" width="9.140625" style="111"/>
    <col min="6127" max="6127" width="4.5703125" style="111" customWidth="1"/>
    <col min="6128" max="6128" width="21.85546875" style="111" customWidth="1"/>
    <col min="6129" max="6129" width="22.140625" style="111" customWidth="1"/>
    <col min="6130" max="6130" width="11.5703125" style="111" customWidth="1"/>
    <col min="6131" max="6133" width="3.5703125" style="111" customWidth="1"/>
    <col min="6134" max="6134" width="9.5703125" style="111" customWidth="1"/>
    <col min="6135" max="6135" width="18.85546875" style="111" customWidth="1"/>
    <col min="6136" max="6136" width="11.5703125" style="111" customWidth="1"/>
    <col min="6137" max="6137" width="16.42578125" style="111" customWidth="1"/>
    <col min="6138" max="6138" width="17.5703125" style="111" customWidth="1"/>
    <col min="6139" max="6139" width="10.5703125" style="111" customWidth="1"/>
    <col min="6140" max="6382" width="9.140625" style="111"/>
    <col min="6383" max="6383" width="4.5703125" style="111" customWidth="1"/>
    <col min="6384" max="6384" width="21.85546875" style="111" customWidth="1"/>
    <col min="6385" max="6385" width="22.140625" style="111" customWidth="1"/>
    <col min="6386" max="6386" width="11.5703125" style="111" customWidth="1"/>
    <col min="6387" max="6389" width="3.5703125" style="111" customWidth="1"/>
    <col min="6390" max="6390" width="9.5703125" style="111" customWidth="1"/>
    <col min="6391" max="6391" width="18.85546875" style="111" customWidth="1"/>
    <col min="6392" max="6392" width="11.5703125" style="111" customWidth="1"/>
    <col min="6393" max="6393" width="16.42578125" style="111" customWidth="1"/>
    <col min="6394" max="6394" width="17.5703125" style="111" customWidth="1"/>
    <col min="6395" max="6395" width="10.5703125" style="111" customWidth="1"/>
    <col min="6396" max="6638" width="9.140625" style="111"/>
    <col min="6639" max="6639" width="4.5703125" style="111" customWidth="1"/>
    <col min="6640" max="6640" width="21.85546875" style="111" customWidth="1"/>
    <col min="6641" max="6641" width="22.140625" style="111" customWidth="1"/>
    <col min="6642" max="6642" width="11.5703125" style="111" customWidth="1"/>
    <col min="6643" max="6645" width="3.5703125" style="111" customWidth="1"/>
    <col min="6646" max="6646" width="9.5703125" style="111" customWidth="1"/>
    <col min="6647" max="6647" width="18.85546875" style="111" customWidth="1"/>
    <col min="6648" max="6648" width="11.5703125" style="111" customWidth="1"/>
    <col min="6649" max="6649" width="16.42578125" style="111" customWidth="1"/>
    <col min="6650" max="6650" width="17.5703125" style="111" customWidth="1"/>
    <col min="6651" max="6651" width="10.5703125" style="111" customWidth="1"/>
    <col min="6652" max="6894" width="9.140625" style="111"/>
    <col min="6895" max="6895" width="4.5703125" style="111" customWidth="1"/>
    <col min="6896" max="6896" width="21.85546875" style="111" customWidth="1"/>
    <col min="6897" max="6897" width="22.140625" style="111" customWidth="1"/>
    <col min="6898" max="6898" width="11.5703125" style="111" customWidth="1"/>
    <col min="6899" max="6901" width="3.5703125" style="111" customWidth="1"/>
    <col min="6902" max="6902" width="9.5703125" style="111" customWidth="1"/>
    <col min="6903" max="6903" width="18.85546875" style="111" customWidth="1"/>
    <col min="6904" max="6904" width="11.5703125" style="111" customWidth="1"/>
    <col min="6905" max="6905" width="16.42578125" style="111" customWidth="1"/>
    <col min="6906" max="6906" width="17.5703125" style="111" customWidth="1"/>
    <col min="6907" max="6907" width="10.5703125" style="111" customWidth="1"/>
    <col min="6908" max="7150" width="9.140625" style="111"/>
    <col min="7151" max="7151" width="4.5703125" style="111" customWidth="1"/>
    <col min="7152" max="7152" width="21.85546875" style="111" customWidth="1"/>
    <col min="7153" max="7153" width="22.140625" style="111" customWidth="1"/>
    <col min="7154" max="7154" width="11.5703125" style="111" customWidth="1"/>
    <col min="7155" max="7157" width="3.5703125" style="111" customWidth="1"/>
    <col min="7158" max="7158" width="9.5703125" style="111" customWidth="1"/>
    <col min="7159" max="7159" width="18.85546875" style="111" customWidth="1"/>
    <col min="7160" max="7160" width="11.5703125" style="111" customWidth="1"/>
    <col min="7161" max="7161" width="16.42578125" style="111" customWidth="1"/>
    <col min="7162" max="7162" width="17.5703125" style="111" customWidth="1"/>
    <col min="7163" max="7163" width="10.5703125" style="111" customWidth="1"/>
    <col min="7164" max="7406" width="9.140625" style="111"/>
    <col min="7407" max="7407" width="4.5703125" style="111" customWidth="1"/>
    <col min="7408" max="7408" width="21.85546875" style="111" customWidth="1"/>
    <col min="7409" max="7409" width="22.140625" style="111" customWidth="1"/>
    <col min="7410" max="7410" width="11.5703125" style="111" customWidth="1"/>
    <col min="7411" max="7413" width="3.5703125" style="111" customWidth="1"/>
    <col min="7414" max="7414" width="9.5703125" style="111" customWidth="1"/>
    <col min="7415" max="7415" width="18.85546875" style="111" customWidth="1"/>
    <col min="7416" max="7416" width="11.5703125" style="111" customWidth="1"/>
    <col min="7417" max="7417" width="16.42578125" style="111" customWidth="1"/>
    <col min="7418" max="7418" width="17.5703125" style="111" customWidth="1"/>
    <col min="7419" max="7419" width="10.5703125" style="111" customWidth="1"/>
    <col min="7420" max="7662" width="9.140625" style="111"/>
    <col min="7663" max="7663" width="4.5703125" style="111" customWidth="1"/>
    <col min="7664" max="7664" width="21.85546875" style="111" customWidth="1"/>
    <col min="7665" max="7665" width="22.140625" style="111" customWidth="1"/>
    <col min="7666" max="7666" width="11.5703125" style="111" customWidth="1"/>
    <col min="7667" max="7669" width="3.5703125" style="111" customWidth="1"/>
    <col min="7670" max="7670" width="9.5703125" style="111" customWidth="1"/>
    <col min="7671" max="7671" width="18.85546875" style="111" customWidth="1"/>
    <col min="7672" max="7672" width="11.5703125" style="111" customWidth="1"/>
    <col min="7673" max="7673" width="16.42578125" style="111" customWidth="1"/>
    <col min="7674" max="7674" width="17.5703125" style="111" customWidth="1"/>
    <col min="7675" max="7675" width="10.5703125" style="111" customWidth="1"/>
    <col min="7676" max="7918" width="9.140625" style="111"/>
    <col min="7919" max="7919" width="4.5703125" style="111" customWidth="1"/>
    <col min="7920" max="7920" width="21.85546875" style="111" customWidth="1"/>
    <col min="7921" max="7921" width="22.140625" style="111" customWidth="1"/>
    <col min="7922" max="7922" width="11.5703125" style="111" customWidth="1"/>
    <col min="7923" max="7925" width="3.5703125" style="111" customWidth="1"/>
    <col min="7926" max="7926" width="9.5703125" style="111" customWidth="1"/>
    <col min="7927" max="7927" width="18.85546875" style="111" customWidth="1"/>
    <col min="7928" max="7928" width="11.5703125" style="111" customWidth="1"/>
    <col min="7929" max="7929" width="16.42578125" style="111" customWidth="1"/>
    <col min="7930" max="7930" width="17.5703125" style="111" customWidth="1"/>
    <col min="7931" max="7931" width="10.5703125" style="111" customWidth="1"/>
    <col min="7932" max="8174" width="9.140625" style="111"/>
    <col min="8175" max="8175" width="4.5703125" style="111" customWidth="1"/>
    <col min="8176" max="8176" width="21.85546875" style="111" customWidth="1"/>
    <col min="8177" max="8177" width="22.140625" style="111" customWidth="1"/>
    <col min="8178" max="8178" width="11.5703125" style="111" customWidth="1"/>
    <col min="8179" max="8181" width="3.5703125" style="111" customWidth="1"/>
    <col min="8182" max="8182" width="9.5703125" style="111" customWidth="1"/>
    <col min="8183" max="8183" width="18.85546875" style="111" customWidth="1"/>
    <col min="8184" max="8184" width="11.5703125" style="111" customWidth="1"/>
    <col min="8185" max="8185" width="16.42578125" style="111" customWidth="1"/>
    <col min="8186" max="8186" width="17.5703125" style="111" customWidth="1"/>
    <col min="8187" max="8187" width="10.5703125" style="111" customWidth="1"/>
    <col min="8188" max="8430" width="9.140625" style="111"/>
    <col min="8431" max="8431" width="4.5703125" style="111" customWidth="1"/>
    <col min="8432" max="8432" width="21.85546875" style="111" customWidth="1"/>
    <col min="8433" max="8433" width="22.140625" style="111" customWidth="1"/>
    <col min="8434" max="8434" width="11.5703125" style="111" customWidth="1"/>
    <col min="8435" max="8437" width="3.5703125" style="111" customWidth="1"/>
    <col min="8438" max="8438" width="9.5703125" style="111" customWidth="1"/>
    <col min="8439" max="8439" width="18.85546875" style="111" customWidth="1"/>
    <col min="8440" max="8440" width="11.5703125" style="111" customWidth="1"/>
    <col min="8441" max="8441" width="16.42578125" style="111" customWidth="1"/>
    <col min="8442" max="8442" width="17.5703125" style="111" customWidth="1"/>
    <col min="8443" max="8443" width="10.5703125" style="111" customWidth="1"/>
    <col min="8444" max="8686" width="9.140625" style="111"/>
    <col min="8687" max="8687" width="4.5703125" style="111" customWidth="1"/>
    <col min="8688" max="8688" width="21.85546875" style="111" customWidth="1"/>
    <col min="8689" max="8689" width="22.140625" style="111" customWidth="1"/>
    <col min="8690" max="8690" width="11.5703125" style="111" customWidth="1"/>
    <col min="8691" max="8693" width="3.5703125" style="111" customWidth="1"/>
    <col min="8694" max="8694" width="9.5703125" style="111" customWidth="1"/>
    <col min="8695" max="8695" width="18.85546875" style="111" customWidth="1"/>
    <col min="8696" max="8696" width="11.5703125" style="111" customWidth="1"/>
    <col min="8697" max="8697" width="16.42578125" style="111" customWidth="1"/>
    <col min="8698" max="8698" width="17.5703125" style="111" customWidth="1"/>
    <col min="8699" max="8699" width="10.5703125" style="111" customWidth="1"/>
    <col min="8700" max="8942" width="9.140625" style="111"/>
    <col min="8943" max="8943" width="4.5703125" style="111" customWidth="1"/>
    <col min="8944" max="8944" width="21.85546875" style="111" customWidth="1"/>
    <col min="8945" max="8945" width="22.140625" style="111" customWidth="1"/>
    <col min="8946" max="8946" width="11.5703125" style="111" customWidth="1"/>
    <col min="8947" max="8949" width="3.5703125" style="111" customWidth="1"/>
    <col min="8950" max="8950" width="9.5703125" style="111" customWidth="1"/>
    <col min="8951" max="8951" width="18.85546875" style="111" customWidth="1"/>
    <col min="8952" max="8952" width="11.5703125" style="111" customWidth="1"/>
    <col min="8953" max="8953" width="16.42578125" style="111" customWidth="1"/>
    <col min="8954" max="8954" width="17.5703125" style="111" customWidth="1"/>
    <col min="8955" max="8955" width="10.5703125" style="111" customWidth="1"/>
    <col min="8956" max="9198" width="9.140625" style="111"/>
    <col min="9199" max="9199" width="4.5703125" style="111" customWidth="1"/>
    <col min="9200" max="9200" width="21.85546875" style="111" customWidth="1"/>
    <col min="9201" max="9201" width="22.140625" style="111" customWidth="1"/>
    <col min="9202" max="9202" width="11.5703125" style="111" customWidth="1"/>
    <col min="9203" max="9205" width="3.5703125" style="111" customWidth="1"/>
    <col min="9206" max="9206" width="9.5703125" style="111" customWidth="1"/>
    <col min="9207" max="9207" width="18.85546875" style="111" customWidth="1"/>
    <col min="9208" max="9208" width="11.5703125" style="111" customWidth="1"/>
    <col min="9209" max="9209" width="16.42578125" style="111" customWidth="1"/>
    <col min="9210" max="9210" width="17.5703125" style="111" customWidth="1"/>
    <col min="9211" max="9211" width="10.5703125" style="111" customWidth="1"/>
    <col min="9212" max="9454" width="9.140625" style="111"/>
    <col min="9455" max="9455" width="4.5703125" style="111" customWidth="1"/>
    <col min="9456" max="9456" width="21.85546875" style="111" customWidth="1"/>
    <col min="9457" max="9457" width="22.140625" style="111" customWidth="1"/>
    <col min="9458" max="9458" width="11.5703125" style="111" customWidth="1"/>
    <col min="9459" max="9461" width="3.5703125" style="111" customWidth="1"/>
    <col min="9462" max="9462" width="9.5703125" style="111" customWidth="1"/>
    <col min="9463" max="9463" width="18.85546875" style="111" customWidth="1"/>
    <col min="9464" max="9464" width="11.5703125" style="111" customWidth="1"/>
    <col min="9465" max="9465" width="16.42578125" style="111" customWidth="1"/>
    <col min="9466" max="9466" width="17.5703125" style="111" customWidth="1"/>
    <col min="9467" max="9467" width="10.5703125" style="111" customWidth="1"/>
    <col min="9468" max="9710" width="9.140625" style="111"/>
    <col min="9711" max="9711" width="4.5703125" style="111" customWidth="1"/>
    <col min="9712" max="9712" width="21.85546875" style="111" customWidth="1"/>
    <col min="9713" max="9713" width="22.140625" style="111" customWidth="1"/>
    <col min="9714" max="9714" width="11.5703125" style="111" customWidth="1"/>
    <col min="9715" max="9717" width="3.5703125" style="111" customWidth="1"/>
    <col min="9718" max="9718" width="9.5703125" style="111" customWidth="1"/>
    <col min="9719" max="9719" width="18.85546875" style="111" customWidth="1"/>
    <col min="9720" max="9720" width="11.5703125" style="111" customWidth="1"/>
    <col min="9721" max="9721" width="16.42578125" style="111" customWidth="1"/>
    <col min="9722" max="9722" width="17.5703125" style="111" customWidth="1"/>
    <col min="9723" max="9723" width="10.5703125" style="111" customWidth="1"/>
    <col min="9724" max="9966" width="9.140625" style="111"/>
    <col min="9967" max="9967" width="4.5703125" style="111" customWidth="1"/>
    <col min="9968" max="9968" width="21.85546875" style="111" customWidth="1"/>
    <col min="9969" max="9969" width="22.140625" style="111" customWidth="1"/>
    <col min="9970" max="9970" width="11.5703125" style="111" customWidth="1"/>
    <col min="9971" max="9973" width="3.5703125" style="111" customWidth="1"/>
    <col min="9974" max="9974" width="9.5703125" style="111" customWidth="1"/>
    <col min="9975" max="9975" width="18.85546875" style="111" customWidth="1"/>
    <col min="9976" max="9976" width="11.5703125" style="111" customWidth="1"/>
    <col min="9977" max="9977" width="16.42578125" style="111" customWidth="1"/>
    <col min="9978" max="9978" width="17.5703125" style="111" customWidth="1"/>
    <col min="9979" max="9979" width="10.5703125" style="111" customWidth="1"/>
    <col min="9980" max="10222" width="9.140625" style="111"/>
    <col min="10223" max="10223" width="4.5703125" style="111" customWidth="1"/>
    <col min="10224" max="10224" width="21.85546875" style="111" customWidth="1"/>
    <col min="10225" max="10225" width="22.140625" style="111" customWidth="1"/>
    <col min="10226" max="10226" width="11.5703125" style="111" customWidth="1"/>
    <col min="10227" max="10229" width="3.5703125" style="111" customWidth="1"/>
    <col min="10230" max="10230" width="9.5703125" style="111" customWidth="1"/>
    <col min="10231" max="10231" width="18.85546875" style="111" customWidth="1"/>
    <col min="10232" max="10232" width="11.5703125" style="111" customWidth="1"/>
    <col min="10233" max="10233" width="16.42578125" style="111" customWidth="1"/>
    <col min="10234" max="10234" width="17.5703125" style="111" customWidth="1"/>
    <col min="10235" max="10235" width="10.5703125" style="111" customWidth="1"/>
    <col min="10236" max="10478" width="9.140625" style="111"/>
    <col min="10479" max="10479" width="4.5703125" style="111" customWidth="1"/>
    <col min="10480" max="10480" width="21.85546875" style="111" customWidth="1"/>
    <col min="10481" max="10481" width="22.140625" style="111" customWidth="1"/>
    <col min="10482" max="10482" width="11.5703125" style="111" customWidth="1"/>
    <col min="10483" max="10485" width="3.5703125" style="111" customWidth="1"/>
    <col min="10486" max="10486" width="9.5703125" style="111" customWidth="1"/>
    <col min="10487" max="10487" width="18.85546875" style="111" customWidth="1"/>
    <col min="10488" max="10488" width="11.5703125" style="111" customWidth="1"/>
    <col min="10489" max="10489" width="16.42578125" style="111" customWidth="1"/>
    <col min="10490" max="10490" width="17.5703125" style="111" customWidth="1"/>
    <col min="10491" max="10491" width="10.5703125" style="111" customWidth="1"/>
    <col min="10492" max="10734" width="9.140625" style="111"/>
    <col min="10735" max="10735" width="4.5703125" style="111" customWidth="1"/>
    <col min="10736" max="10736" width="21.85546875" style="111" customWidth="1"/>
    <col min="10737" max="10737" width="22.140625" style="111" customWidth="1"/>
    <col min="10738" max="10738" width="11.5703125" style="111" customWidth="1"/>
    <col min="10739" max="10741" width="3.5703125" style="111" customWidth="1"/>
    <col min="10742" max="10742" width="9.5703125" style="111" customWidth="1"/>
    <col min="10743" max="10743" width="18.85546875" style="111" customWidth="1"/>
    <col min="10744" max="10744" width="11.5703125" style="111" customWidth="1"/>
    <col min="10745" max="10745" width="16.42578125" style="111" customWidth="1"/>
    <col min="10746" max="10746" width="17.5703125" style="111" customWidth="1"/>
    <col min="10747" max="10747" width="10.5703125" style="111" customWidth="1"/>
    <col min="10748" max="10990" width="9.140625" style="111"/>
    <col min="10991" max="10991" width="4.5703125" style="111" customWidth="1"/>
    <col min="10992" max="10992" width="21.85546875" style="111" customWidth="1"/>
    <col min="10993" max="10993" width="22.140625" style="111" customWidth="1"/>
    <col min="10994" max="10994" width="11.5703125" style="111" customWidth="1"/>
    <col min="10995" max="10997" width="3.5703125" style="111" customWidth="1"/>
    <col min="10998" max="10998" width="9.5703125" style="111" customWidth="1"/>
    <col min="10999" max="10999" width="18.85546875" style="111" customWidth="1"/>
    <col min="11000" max="11000" width="11.5703125" style="111" customWidth="1"/>
    <col min="11001" max="11001" width="16.42578125" style="111" customWidth="1"/>
    <col min="11002" max="11002" width="17.5703125" style="111" customWidth="1"/>
    <col min="11003" max="11003" width="10.5703125" style="111" customWidth="1"/>
    <col min="11004" max="11246" width="9.140625" style="111"/>
    <col min="11247" max="11247" width="4.5703125" style="111" customWidth="1"/>
    <col min="11248" max="11248" width="21.85546875" style="111" customWidth="1"/>
    <col min="11249" max="11249" width="22.140625" style="111" customWidth="1"/>
    <col min="11250" max="11250" width="11.5703125" style="111" customWidth="1"/>
    <col min="11251" max="11253" width="3.5703125" style="111" customWidth="1"/>
    <col min="11254" max="11254" width="9.5703125" style="111" customWidth="1"/>
    <col min="11255" max="11255" width="18.85546875" style="111" customWidth="1"/>
    <col min="11256" max="11256" width="11.5703125" style="111" customWidth="1"/>
    <col min="11257" max="11257" width="16.42578125" style="111" customWidth="1"/>
    <col min="11258" max="11258" width="17.5703125" style="111" customWidth="1"/>
    <col min="11259" max="11259" width="10.5703125" style="111" customWidth="1"/>
    <col min="11260" max="11502" width="9.140625" style="111"/>
    <col min="11503" max="11503" width="4.5703125" style="111" customWidth="1"/>
    <col min="11504" max="11504" width="21.85546875" style="111" customWidth="1"/>
    <col min="11505" max="11505" width="22.140625" style="111" customWidth="1"/>
    <col min="11506" max="11506" width="11.5703125" style="111" customWidth="1"/>
    <col min="11507" max="11509" width="3.5703125" style="111" customWidth="1"/>
    <col min="11510" max="11510" width="9.5703125" style="111" customWidth="1"/>
    <col min="11511" max="11511" width="18.85546875" style="111" customWidth="1"/>
    <col min="11512" max="11512" width="11.5703125" style="111" customWidth="1"/>
    <col min="11513" max="11513" width="16.42578125" style="111" customWidth="1"/>
    <col min="11514" max="11514" width="17.5703125" style="111" customWidth="1"/>
    <col min="11515" max="11515" width="10.5703125" style="111" customWidth="1"/>
    <col min="11516" max="11758" width="9.140625" style="111"/>
    <col min="11759" max="11759" width="4.5703125" style="111" customWidth="1"/>
    <col min="11760" max="11760" width="21.85546875" style="111" customWidth="1"/>
    <col min="11761" max="11761" width="22.140625" style="111" customWidth="1"/>
    <col min="11762" max="11762" width="11.5703125" style="111" customWidth="1"/>
    <col min="11763" max="11765" width="3.5703125" style="111" customWidth="1"/>
    <col min="11766" max="11766" width="9.5703125" style="111" customWidth="1"/>
    <col min="11767" max="11767" width="18.85546875" style="111" customWidth="1"/>
    <col min="11768" max="11768" width="11.5703125" style="111" customWidth="1"/>
    <col min="11769" max="11769" width="16.42578125" style="111" customWidth="1"/>
    <col min="11770" max="11770" width="17.5703125" style="111" customWidth="1"/>
    <col min="11771" max="11771" width="10.5703125" style="111" customWidth="1"/>
    <col min="11772" max="12014" width="9.140625" style="111"/>
    <col min="12015" max="12015" width="4.5703125" style="111" customWidth="1"/>
    <col min="12016" max="12016" width="21.85546875" style="111" customWidth="1"/>
    <col min="12017" max="12017" width="22.140625" style="111" customWidth="1"/>
    <col min="12018" max="12018" width="11.5703125" style="111" customWidth="1"/>
    <col min="12019" max="12021" width="3.5703125" style="111" customWidth="1"/>
    <col min="12022" max="12022" width="9.5703125" style="111" customWidth="1"/>
    <col min="12023" max="12023" width="18.85546875" style="111" customWidth="1"/>
    <col min="12024" max="12024" width="11.5703125" style="111" customWidth="1"/>
    <col min="12025" max="12025" width="16.42578125" style="111" customWidth="1"/>
    <col min="12026" max="12026" width="17.5703125" style="111" customWidth="1"/>
    <col min="12027" max="12027" width="10.5703125" style="111" customWidth="1"/>
    <col min="12028" max="12270" width="9.140625" style="111"/>
    <col min="12271" max="12271" width="4.5703125" style="111" customWidth="1"/>
    <col min="12272" max="12272" width="21.85546875" style="111" customWidth="1"/>
    <col min="12273" max="12273" width="22.140625" style="111" customWidth="1"/>
    <col min="12274" max="12274" width="11.5703125" style="111" customWidth="1"/>
    <col min="12275" max="12277" width="3.5703125" style="111" customWidth="1"/>
    <col min="12278" max="12278" width="9.5703125" style="111" customWidth="1"/>
    <col min="12279" max="12279" width="18.85546875" style="111" customWidth="1"/>
    <col min="12280" max="12280" width="11.5703125" style="111" customWidth="1"/>
    <col min="12281" max="12281" width="16.42578125" style="111" customWidth="1"/>
    <col min="12282" max="12282" width="17.5703125" style="111" customWidth="1"/>
    <col min="12283" max="12283" width="10.5703125" style="111" customWidth="1"/>
    <col min="12284" max="12526" width="9.140625" style="111"/>
    <col min="12527" max="12527" width="4.5703125" style="111" customWidth="1"/>
    <col min="12528" max="12528" width="21.85546875" style="111" customWidth="1"/>
    <col min="12529" max="12529" width="22.140625" style="111" customWidth="1"/>
    <col min="12530" max="12530" width="11.5703125" style="111" customWidth="1"/>
    <col min="12531" max="12533" width="3.5703125" style="111" customWidth="1"/>
    <col min="12534" max="12534" width="9.5703125" style="111" customWidth="1"/>
    <col min="12535" max="12535" width="18.85546875" style="111" customWidth="1"/>
    <col min="12536" max="12536" width="11.5703125" style="111" customWidth="1"/>
    <col min="12537" max="12537" width="16.42578125" style="111" customWidth="1"/>
    <col min="12538" max="12538" width="17.5703125" style="111" customWidth="1"/>
    <col min="12539" max="12539" width="10.5703125" style="111" customWidth="1"/>
    <col min="12540" max="12782" width="9.140625" style="111"/>
    <col min="12783" max="12783" width="4.5703125" style="111" customWidth="1"/>
    <col min="12784" max="12784" width="21.85546875" style="111" customWidth="1"/>
    <col min="12785" max="12785" width="22.140625" style="111" customWidth="1"/>
    <col min="12786" max="12786" width="11.5703125" style="111" customWidth="1"/>
    <col min="12787" max="12789" width="3.5703125" style="111" customWidth="1"/>
    <col min="12790" max="12790" width="9.5703125" style="111" customWidth="1"/>
    <col min="12791" max="12791" width="18.85546875" style="111" customWidth="1"/>
    <col min="12792" max="12792" width="11.5703125" style="111" customWidth="1"/>
    <col min="12793" max="12793" width="16.42578125" style="111" customWidth="1"/>
    <col min="12794" max="12794" width="17.5703125" style="111" customWidth="1"/>
    <col min="12795" max="12795" width="10.5703125" style="111" customWidth="1"/>
    <col min="12796" max="13038" width="9.140625" style="111"/>
    <col min="13039" max="13039" width="4.5703125" style="111" customWidth="1"/>
    <col min="13040" max="13040" width="21.85546875" style="111" customWidth="1"/>
    <col min="13041" max="13041" width="22.140625" style="111" customWidth="1"/>
    <col min="13042" max="13042" width="11.5703125" style="111" customWidth="1"/>
    <col min="13043" max="13045" width="3.5703125" style="111" customWidth="1"/>
    <col min="13046" max="13046" width="9.5703125" style="111" customWidth="1"/>
    <col min="13047" max="13047" width="18.85546875" style="111" customWidth="1"/>
    <col min="13048" max="13048" width="11.5703125" style="111" customWidth="1"/>
    <col min="13049" max="13049" width="16.42578125" style="111" customWidth="1"/>
    <col min="13050" max="13050" width="17.5703125" style="111" customWidth="1"/>
    <col min="13051" max="13051" width="10.5703125" style="111" customWidth="1"/>
    <col min="13052" max="13294" width="9.140625" style="111"/>
    <col min="13295" max="13295" width="4.5703125" style="111" customWidth="1"/>
    <col min="13296" max="13296" width="21.85546875" style="111" customWidth="1"/>
    <col min="13297" max="13297" width="22.140625" style="111" customWidth="1"/>
    <col min="13298" max="13298" width="11.5703125" style="111" customWidth="1"/>
    <col min="13299" max="13301" width="3.5703125" style="111" customWidth="1"/>
    <col min="13302" max="13302" width="9.5703125" style="111" customWidth="1"/>
    <col min="13303" max="13303" width="18.85546875" style="111" customWidth="1"/>
    <col min="13304" max="13304" width="11.5703125" style="111" customWidth="1"/>
    <col min="13305" max="13305" width="16.42578125" style="111" customWidth="1"/>
    <col min="13306" max="13306" width="17.5703125" style="111" customWidth="1"/>
    <col min="13307" max="13307" width="10.5703125" style="111" customWidth="1"/>
    <col min="13308" max="13550" width="9.140625" style="111"/>
    <col min="13551" max="13551" width="4.5703125" style="111" customWidth="1"/>
    <col min="13552" max="13552" width="21.85546875" style="111" customWidth="1"/>
    <col min="13553" max="13553" width="22.140625" style="111" customWidth="1"/>
    <col min="13554" max="13554" width="11.5703125" style="111" customWidth="1"/>
    <col min="13555" max="13557" width="3.5703125" style="111" customWidth="1"/>
    <col min="13558" max="13558" width="9.5703125" style="111" customWidth="1"/>
    <col min="13559" max="13559" width="18.85546875" style="111" customWidth="1"/>
    <col min="13560" max="13560" width="11.5703125" style="111" customWidth="1"/>
    <col min="13561" max="13561" width="16.42578125" style="111" customWidth="1"/>
    <col min="13562" max="13562" width="17.5703125" style="111" customWidth="1"/>
    <col min="13563" max="13563" width="10.5703125" style="111" customWidth="1"/>
    <col min="13564" max="13806" width="9.140625" style="111"/>
    <col min="13807" max="13807" width="4.5703125" style="111" customWidth="1"/>
    <col min="13808" max="13808" width="21.85546875" style="111" customWidth="1"/>
    <col min="13809" max="13809" width="22.140625" style="111" customWidth="1"/>
    <col min="13810" max="13810" width="11.5703125" style="111" customWidth="1"/>
    <col min="13811" max="13813" width="3.5703125" style="111" customWidth="1"/>
    <col min="13814" max="13814" width="9.5703125" style="111" customWidth="1"/>
    <col min="13815" max="13815" width="18.85546875" style="111" customWidth="1"/>
    <col min="13816" max="13816" width="11.5703125" style="111" customWidth="1"/>
    <col min="13817" max="13817" width="16.42578125" style="111" customWidth="1"/>
    <col min="13818" max="13818" width="17.5703125" style="111" customWidth="1"/>
    <col min="13819" max="13819" width="10.5703125" style="111" customWidth="1"/>
    <col min="13820" max="14062" width="9.140625" style="111"/>
    <col min="14063" max="14063" width="4.5703125" style="111" customWidth="1"/>
    <col min="14064" max="14064" width="21.85546875" style="111" customWidth="1"/>
    <col min="14065" max="14065" width="22.140625" style="111" customWidth="1"/>
    <col min="14066" max="14066" width="11.5703125" style="111" customWidth="1"/>
    <col min="14067" max="14069" width="3.5703125" style="111" customWidth="1"/>
    <col min="14070" max="14070" width="9.5703125" style="111" customWidth="1"/>
    <col min="14071" max="14071" width="18.85546875" style="111" customWidth="1"/>
    <col min="14072" max="14072" width="11.5703125" style="111" customWidth="1"/>
    <col min="14073" max="14073" width="16.42578125" style="111" customWidth="1"/>
    <col min="14074" max="14074" width="17.5703125" style="111" customWidth="1"/>
    <col min="14075" max="14075" width="10.5703125" style="111" customWidth="1"/>
    <col min="14076" max="14318" width="9.140625" style="111"/>
    <col min="14319" max="14319" width="4.5703125" style="111" customWidth="1"/>
    <col min="14320" max="14320" width="21.85546875" style="111" customWidth="1"/>
    <col min="14321" max="14321" width="22.140625" style="111" customWidth="1"/>
    <col min="14322" max="14322" width="11.5703125" style="111" customWidth="1"/>
    <col min="14323" max="14325" width="3.5703125" style="111" customWidth="1"/>
    <col min="14326" max="14326" width="9.5703125" style="111" customWidth="1"/>
    <col min="14327" max="14327" width="18.85546875" style="111" customWidth="1"/>
    <col min="14328" max="14328" width="11.5703125" style="111" customWidth="1"/>
    <col min="14329" max="14329" width="16.42578125" style="111" customWidth="1"/>
    <col min="14330" max="14330" width="17.5703125" style="111" customWidth="1"/>
    <col min="14331" max="14331" width="10.5703125" style="111" customWidth="1"/>
    <col min="14332" max="14574" width="9.140625" style="111"/>
    <col min="14575" max="14575" width="4.5703125" style="111" customWidth="1"/>
    <col min="14576" max="14576" width="21.85546875" style="111" customWidth="1"/>
    <col min="14577" max="14577" width="22.140625" style="111" customWidth="1"/>
    <col min="14578" max="14578" width="11.5703125" style="111" customWidth="1"/>
    <col min="14579" max="14581" width="3.5703125" style="111" customWidth="1"/>
    <col min="14582" max="14582" width="9.5703125" style="111" customWidth="1"/>
    <col min="14583" max="14583" width="18.85546875" style="111" customWidth="1"/>
    <col min="14584" max="14584" width="11.5703125" style="111" customWidth="1"/>
    <col min="14585" max="14585" width="16.42578125" style="111" customWidth="1"/>
    <col min="14586" max="14586" width="17.5703125" style="111" customWidth="1"/>
    <col min="14587" max="14587" width="10.5703125" style="111" customWidth="1"/>
    <col min="14588" max="14830" width="9.140625" style="111"/>
    <col min="14831" max="14831" width="4.5703125" style="111" customWidth="1"/>
    <col min="14832" max="14832" width="21.85546875" style="111" customWidth="1"/>
    <col min="14833" max="14833" width="22.140625" style="111" customWidth="1"/>
    <col min="14834" max="14834" width="11.5703125" style="111" customWidth="1"/>
    <col min="14835" max="14837" width="3.5703125" style="111" customWidth="1"/>
    <col min="14838" max="14838" width="9.5703125" style="111" customWidth="1"/>
    <col min="14839" max="14839" width="18.85546875" style="111" customWidth="1"/>
    <col min="14840" max="14840" width="11.5703125" style="111" customWidth="1"/>
    <col min="14841" max="14841" width="16.42578125" style="111" customWidth="1"/>
    <col min="14842" max="14842" width="17.5703125" style="111" customWidth="1"/>
    <col min="14843" max="14843" width="10.5703125" style="111" customWidth="1"/>
    <col min="14844" max="15086" width="9.140625" style="111"/>
    <col min="15087" max="15087" width="4.5703125" style="111" customWidth="1"/>
    <col min="15088" max="15088" width="21.85546875" style="111" customWidth="1"/>
    <col min="15089" max="15089" width="22.140625" style="111" customWidth="1"/>
    <col min="15090" max="15090" width="11.5703125" style="111" customWidth="1"/>
    <col min="15091" max="15093" width="3.5703125" style="111" customWidth="1"/>
    <col min="15094" max="15094" width="9.5703125" style="111" customWidth="1"/>
    <col min="15095" max="15095" width="18.85546875" style="111" customWidth="1"/>
    <col min="15096" max="15096" width="11.5703125" style="111" customWidth="1"/>
    <col min="15097" max="15097" width="16.42578125" style="111" customWidth="1"/>
    <col min="15098" max="15098" width="17.5703125" style="111" customWidth="1"/>
    <col min="15099" max="15099" width="10.5703125" style="111" customWidth="1"/>
    <col min="15100" max="15342" width="9.140625" style="111"/>
    <col min="15343" max="15343" width="4.5703125" style="111" customWidth="1"/>
    <col min="15344" max="15344" width="21.85546875" style="111" customWidth="1"/>
    <col min="15345" max="15345" width="22.140625" style="111" customWidth="1"/>
    <col min="15346" max="15346" width="11.5703125" style="111" customWidth="1"/>
    <col min="15347" max="15349" width="3.5703125" style="111" customWidth="1"/>
    <col min="15350" max="15350" width="9.5703125" style="111" customWidth="1"/>
    <col min="15351" max="15351" width="18.85546875" style="111" customWidth="1"/>
    <col min="15352" max="15352" width="11.5703125" style="111" customWidth="1"/>
    <col min="15353" max="15353" width="16.42578125" style="111" customWidth="1"/>
    <col min="15354" max="15354" width="17.5703125" style="111" customWidth="1"/>
    <col min="15355" max="15355" width="10.5703125" style="111" customWidth="1"/>
    <col min="15356" max="15598" width="9.140625" style="111"/>
    <col min="15599" max="15599" width="4.5703125" style="111" customWidth="1"/>
    <col min="15600" max="15600" width="21.85546875" style="111" customWidth="1"/>
    <col min="15601" max="15601" width="22.140625" style="111" customWidth="1"/>
    <col min="15602" max="15602" width="11.5703125" style="111" customWidth="1"/>
    <col min="15603" max="15605" width="3.5703125" style="111" customWidth="1"/>
    <col min="15606" max="15606" width="9.5703125" style="111" customWidth="1"/>
    <col min="15607" max="15607" width="18.85546875" style="111" customWidth="1"/>
    <col min="15608" max="15608" width="11.5703125" style="111" customWidth="1"/>
    <col min="15609" max="15609" width="16.42578125" style="111" customWidth="1"/>
    <col min="15610" max="15610" width="17.5703125" style="111" customWidth="1"/>
    <col min="15611" max="15611" width="10.5703125" style="111" customWidth="1"/>
    <col min="15612" max="15854" width="9.140625" style="111"/>
    <col min="15855" max="15855" width="4.5703125" style="111" customWidth="1"/>
    <col min="15856" max="15856" width="21.85546875" style="111" customWidth="1"/>
    <col min="15857" max="15857" width="22.140625" style="111" customWidth="1"/>
    <col min="15858" max="15858" width="11.5703125" style="111" customWidth="1"/>
    <col min="15859" max="15861" width="3.5703125" style="111" customWidth="1"/>
    <col min="15862" max="15862" width="9.5703125" style="111" customWidth="1"/>
    <col min="15863" max="15863" width="18.85546875" style="111" customWidth="1"/>
    <col min="15864" max="15864" width="11.5703125" style="111" customWidth="1"/>
    <col min="15865" max="15865" width="16.42578125" style="111" customWidth="1"/>
    <col min="15866" max="15866" width="17.5703125" style="111" customWidth="1"/>
    <col min="15867" max="15867" width="10.5703125" style="111" customWidth="1"/>
    <col min="15868" max="16110" width="9.140625" style="111"/>
    <col min="16111" max="16111" width="4.5703125" style="111" customWidth="1"/>
    <col min="16112" max="16112" width="21.85546875" style="111" customWidth="1"/>
    <col min="16113" max="16113" width="22.140625" style="111" customWidth="1"/>
    <col min="16114" max="16114" width="11.5703125" style="111" customWidth="1"/>
    <col min="16115" max="16117" width="3.5703125" style="111" customWidth="1"/>
    <col min="16118" max="16118" width="9.5703125" style="111" customWidth="1"/>
    <col min="16119" max="16119" width="18.85546875" style="111" customWidth="1"/>
    <col min="16120" max="16120" width="11.5703125" style="111" customWidth="1"/>
    <col min="16121" max="16121" width="16.42578125" style="111" customWidth="1"/>
    <col min="16122" max="16122" width="17.5703125" style="111" customWidth="1"/>
    <col min="16123" max="16123" width="10.5703125" style="111" customWidth="1"/>
    <col min="16124" max="16384" width="9.140625" style="111"/>
  </cols>
  <sheetData>
    <row r="1" spans="1:22" ht="18" customHeight="1">
      <c r="C1" s="104"/>
      <c r="D1" s="104"/>
      <c r="E1" s="104"/>
      <c r="N1" s="107" t="s">
        <v>340</v>
      </c>
    </row>
    <row r="2" spans="1:22" ht="18" customHeight="1">
      <c r="C2" s="104"/>
      <c r="D2" s="104"/>
      <c r="E2" s="104"/>
      <c r="N2" s="104" t="s">
        <v>465</v>
      </c>
    </row>
    <row r="3" spans="1:22" ht="18" customHeight="1">
      <c r="C3" s="104"/>
      <c r="D3" s="104"/>
      <c r="E3" s="104"/>
      <c r="N3" s="104" t="s">
        <v>338</v>
      </c>
    </row>
    <row r="4" spans="1:22" ht="18" customHeight="1">
      <c r="C4" s="104"/>
      <c r="D4" s="104"/>
      <c r="E4" s="104"/>
      <c r="N4" s="104" t="s">
        <v>305</v>
      </c>
    </row>
    <row r="5" spans="1:22" ht="18" customHeight="1">
      <c r="C5" s="104"/>
      <c r="D5" s="104"/>
      <c r="E5" s="104"/>
      <c r="N5" s="104" t="s">
        <v>306</v>
      </c>
    </row>
    <row r="6" spans="1:22" ht="18" customHeight="1">
      <c r="C6" s="104"/>
      <c r="D6" s="104"/>
      <c r="E6" s="104"/>
      <c r="N6" s="104" t="s">
        <v>341</v>
      </c>
    </row>
    <row r="7" spans="1:22" ht="18" customHeight="1">
      <c r="C7" s="104"/>
      <c r="D7" s="104"/>
      <c r="E7" s="104"/>
      <c r="N7" s="104" t="s">
        <v>222</v>
      </c>
    </row>
    <row r="8" spans="1:22" ht="18" customHeight="1">
      <c r="A8" s="669" t="s">
        <v>947</v>
      </c>
      <c r="B8" s="669"/>
      <c r="C8" s="669"/>
      <c r="D8" s="669"/>
      <c r="E8" s="669"/>
      <c r="F8" s="669"/>
      <c r="G8" s="669"/>
      <c r="H8" s="669"/>
      <c r="I8" s="669"/>
      <c r="J8" s="669"/>
      <c r="K8" s="669"/>
      <c r="L8" s="669"/>
      <c r="M8" s="669"/>
      <c r="N8" s="669"/>
      <c r="O8" s="669"/>
      <c r="P8" s="669"/>
      <c r="Q8" s="669"/>
      <c r="R8" s="669"/>
      <c r="S8" s="669"/>
      <c r="T8" s="669"/>
      <c r="U8" s="669"/>
      <c r="V8" s="669"/>
    </row>
    <row r="9" spans="1:22" ht="18" customHeight="1">
      <c r="A9" s="669" t="s">
        <v>948</v>
      </c>
      <c r="B9" s="669"/>
      <c r="C9" s="669"/>
      <c r="D9" s="669"/>
      <c r="E9" s="669"/>
      <c r="F9" s="669"/>
      <c r="G9" s="669"/>
      <c r="H9" s="669"/>
      <c r="I9" s="669"/>
      <c r="J9" s="669"/>
      <c r="K9" s="669"/>
      <c r="L9" s="669"/>
      <c r="M9" s="669"/>
      <c r="N9" s="669"/>
      <c r="O9" s="669"/>
      <c r="P9" s="669"/>
      <c r="Q9" s="669"/>
      <c r="R9" s="669"/>
      <c r="S9" s="669"/>
      <c r="T9" s="669"/>
      <c r="U9" s="669"/>
      <c r="V9" s="669"/>
    </row>
    <row r="10" spans="1:22" ht="18" customHeight="1">
      <c r="A10" s="213"/>
      <c r="B10" s="213"/>
      <c r="C10" s="213"/>
      <c r="D10" s="213"/>
      <c r="E10" s="213"/>
      <c r="F10" s="214"/>
      <c r="G10" s="214"/>
      <c r="H10" s="215"/>
      <c r="I10" s="215"/>
      <c r="J10" s="216"/>
      <c r="K10" s="215"/>
      <c r="L10" s="216"/>
      <c r="M10" s="216"/>
      <c r="N10" s="216"/>
      <c r="O10" s="215"/>
      <c r="P10" s="216"/>
      <c r="Q10" s="216"/>
      <c r="R10" s="217"/>
      <c r="S10" s="216"/>
      <c r="T10" s="216"/>
      <c r="U10" s="216"/>
      <c r="V10" s="216"/>
    </row>
    <row r="11" spans="1:22" ht="18" customHeight="1">
      <c r="A11" s="213" t="s">
        <v>342</v>
      </c>
      <c r="B11" s="213"/>
      <c r="C11" s="213"/>
      <c r="D11" s="213"/>
      <c r="E11" s="218" t="s">
        <v>6</v>
      </c>
      <c r="F11" s="219" t="s">
        <v>949</v>
      </c>
      <c r="G11" s="214"/>
      <c r="H11" s="220"/>
      <c r="I11" s="220"/>
      <c r="J11" s="221"/>
      <c r="K11" s="220"/>
      <c r="L11" s="221"/>
      <c r="M11" s="221"/>
      <c r="N11" s="221"/>
      <c r="O11" s="220"/>
      <c r="P11" s="221"/>
      <c r="Q11" s="221"/>
      <c r="R11" s="222"/>
      <c r="S11" s="221"/>
      <c r="T11" s="221"/>
      <c r="U11" s="221"/>
      <c r="V11" s="221"/>
    </row>
    <row r="12" spans="1:22" ht="18" customHeight="1">
      <c r="A12" s="213" t="s">
        <v>343</v>
      </c>
      <c r="B12" s="213"/>
      <c r="C12" s="213"/>
      <c r="D12" s="213"/>
      <c r="E12" s="218" t="s">
        <v>6</v>
      </c>
      <c r="F12" s="219" t="s">
        <v>950</v>
      </c>
      <c r="G12" s="214"/>
      <c r="H12" s="220"/>
      <c r="I12" s="220"/>
      <c r="J12" s="221"/>
      <c r="K12" s="220"/>
      <c r="L12" s="221"/>
      <c r="M12" s="221"/>
      <c r="N12" s="221"/>
      <c r="O12" s="220"/>
      <c r="P12" s="221"/>
      <c r="Q12" s="221"/>
      <c r="R12" s="222"/>
      <c r="S12" s="221"/>
      <c r="T12" s="221"/>
      <c r="U12" s="221"/>
      <c r="V12" s="221"/>
    </row>
    <row r="13" spans="1:22" ht="18" customHeight="1">
      <c r="A13" s="213" t="s">
        <v>344</v>
      </c>
      <c r="B13" s="213"/>
      <c r="C13" s="213"/>
      <c r="D13" s="213"/>
      <c r="E13" s="218" t="s">
        <v>6</v>
      </c>
      <c r="F13" s="219" t="s">
        <v>951</v>
      </c>
      <c r="G13" s="214"/>
      <c r="H13" s="220"/>
      <c r="I13" s="220" t="s">
        <v>952</v>
      </c>
      <c r="J13" s="221"/>
      <c r="K13" s="220"/>
      <c r="L13" s="221"/>
      <c r="M13" s="221"/>
      <c r="N13" s="221"/>
      <c r="O13" s="220"/>
      <c r="P13" s="221"/>
      <c r="Q13" s="221"/>
      <c r="R13" s="222"/>
      <c r="S13" s="221"/>
      <c r="T13" s="221"/>
      <c r="U13" s="221"/>
      <c r="V13" s="221"/>
    </row>
    <row r="14" spans="1:22" ht="18" customHeight="1">
      <c r="A14" s="213"/>
      <c r="B14" s="213"/>
      <c r="C14" s="213"/>
      <c r="D14" s="213"/>
      <c r="E14" s="213"/>
      <c r="F14" s="214"/>
      <c r="G14" s="214"/>
      <c r="H14" s="215"/>
      <c r="I14" s="215"/>
      <c r="J14" s="216"/>
      <c r="K14" s="215"/>
      <c r="L14" s="216"/>
      <c r="M14" s="216"/>
      <c r="N14" s="216"/>
      <c r="O14" s="215"/>
      <c r="P14" s="216"/>
      <c r="Q14" s="216"/>
      <c r="R14" s="217"/>
      <c r="S14" s="216"/>
      <c r="T14" s="216"/>
      <c r="U14" s="216"/>
      <c r="V14" s="216"/>
    </row>
    <row r="15" spans="1:22" ht="18" customHeight="1">
      <c r="A15" s="670" t="s">
        <v>345</v>
      </c>
      <c r="B15" s="670"/>
      <c r="C15" s="670"/>
      <c r="D15" s="670"/>
      <c r="E15" s="670"/>
      <c r="F15" s="670"/>
      <c r="G15" s="670"/>
      <c r="H15" s="670" t="s">
        <v>278</v>
      </c>
      <c r="I15" s="670" t="s">
        <v>953</v>
      </c>
      <c r="J15" s="670" t="s">
        <v>346</v>
      </c>
      <c r="K15" s="670"/>
      <c r="L15" s="670"/>
      <c r="M15" s="670"/>
      <c r="N15" s="670"/>
      <c r="O15" s="670"/>
      <c r="P15" s="670"/>
      <c r="Q15" s="670"/>
      <c r="R15" s="670"/>
      <c r="S15" s="670" t="s">
        <v>347</v>
      </c>
      <c r="T15" s="670"/>
      <c r="U15" s="670"/>
      <c r="V15" s="670"/>
    </row>
    <row r="16" spans="1:22" ht="16.5" customHeight="1">
      <c r="A16" s="670"/>
      <c r="B16" s="670"/>
      <c r="C16" s="670"/>
      <c r="D16" s="670"/>
      <c r="E16" s="670"/>
      <c r="F16" s="670"/>
      <c r="G16" s="670"/>
      <c r="H16" s="670"/>
      <c r="I16" s="670"/>
      <c r="J16" s="670" t="s">
        <v>348</v>
      </c>
      <c r="K16" s="670"/>
      <c r="L16" s="670"/>
      <c r="M16" s="670"/>
      <c r="N16" s="670" t="s">
        <v>349</v>
      </c>
      <c r="O16" s="670"/>
      <c r="P16" s="670"/>
      <c r="Q16" s="670"/>
      <c r="R16" s="670"/>
      <c r="S16" s="670" t="s">
        <v>954</v>
      </c>
      <c r="T16" s="670" t="s">
        <v>955</v>
      </c>
      <c r="U16" s="670" t="s">
        <v>956</v>
      </c>
      <c r="V16" s="670" t="s">
        <v>957</v>
      </c>
    </row>
    <row r="17" spans="1:23" ht="27.75" customHeight="1">
      <c r="A17" s="670"/>
      <c r="B17" s="670"/>
      <c r="C17" s="670"/>
      <c r="D17" s="670"/>
      <c r="E17" s="670"/>
      <c r="F17" s="670"/>
      <c r="G17" s="670"/>
      <c r="H17" s="670"/>
      <c r="I17" s="670"/>
      <c r="J17" s="670" t="s">
        <v>350</v>
      </c>
      <c r="K17" s="670"/>
      <c r="L17" s="223" t="s">
        <v>351</v>
      </c>
      <c r="M17" s="223" t="s">
        <v>958</v>
      </c>
      <c r="N17" s="670" t="s">
        <v>350</v>
      </c>
      <c r="O17" s="670"/>
      <c r="P17" s="223" t="s">
        <v>351</v>
      </c>
      <c r="Q17" s="223" t="s">
        <v>958</v>
      </c>
      <c r="R17" s="223" t="s">
        <v>352</v>
      </c>
      <c r="S17" s="670"/>
      <c r="T17" s="670"/>
      <c r="U17" s="670"/>
      <c r="V17" s="670"/>
    </row>
    <row r="18" spans="1:23" s="112" customFormat="1" ht="26.25" customHeight="1">
      <c r="A18" s="670">
        <v>1</v>
      </c>
      <c r="B18" s="670"/>
      <c r="C18" s="670"/>
      <c r="D18" s="670"/>
      <c r="E18" s="670"/>
      <c r="F18" s="670"/>
      <c r="G18" s="670"/>
      <c r="H18" s="223">
        <v>2</v>
      </c>
      <c r="I18" s="223">
        <v>3</v>
      </c>
      <c r="J18" s="224">
        <v>4</v>
      </c>
      <c r="K18" s="223"/>
      <c r="L18" s="224">
        <v>5</v>
      </c>
      <c r="M18" s="224">
        <v>6</v>
      </c>
      <c r="N18" s="224">
        <v>7</v>
      </c>
      <c r="O18" s="223"/>
      <c r="P18" s="224">
        <v>8</v>
      </c>
      <c r="Q18" s="224">
        <v>6</v>
      </c>
      <c r="R18" s="225">
        <v>10</v>
      </c>
      <c r="S18" s="224">
        <v>11</v>
      </c>
      <c r="T18" s="224">
        <v>12</v>
      </c>
      <c r="U18" s="224">
        <v>13</v>
      </c>
      <c r="V18" s="224">
        <v>14</v>
      </c>
    </row>
    <row r="19" spans="1:23" s="113" customFormat="1" ht="21.75" customHeight="1">
      <c r="A19" s="226"/>
      <c r="B19" s="226"/>
      <c r="C19" s="226"/>
      <c r="D19" s="226"/>
      <c r="E19" s="226"/>
      <c r="F19" s="226"/>
      <c r="G19" s="226"/>
      <c r="H19" s="226"/>
      <c r="I19" s="226"/>
      <c r="J19" s="227"/>
      <c r="K19" s="226"/>
      <c r="L19" s="227"/>
      <c r="M19" s="227"/>
      <c r="N19" s="227"/>
      <c r="O19" s="226"/>
      <c r="P19" s="227"/>
      <c r="Q19" s="227"/>
      <c r="R19" s="228"/>
      <c r="S19" s="227"/>
      <c r="T19" s="227"/>
      <c r="U19" s="227"/>
      <c r="V19" s="227"/>
    </row>
    <row r="20" spans="1:23" s="114" customFormat="1" ht="28.5" customHeight="1">
      <c r="A20" s="229" t="s">
        <v>362</v>
      </c>
      <c r="B20" s="229" t="s">
        <v>959</v>
      </c>
      <c r="C20" s="229" t="s">
        <v>959</v>
      </c>
      <c r="D20" s="229"/>
      <c r="E20" s="229"/>
      <c r="F20" s="229"/>
      <c r="G20" s="229" t="s">
        <v>959</v>
      </c>
      <c r="H20" s="230" t="s">
        <v>353</v>
      </c>
      <c r="I20" s="230"/>
      <c r="J20" s="231"/>
      <c r="K20" s="232"/>
      <c r="L20" s="233"/>
      <c r="M20" s="234">
        <f>M21+M193+M239+M285+M404</f>
        <v>1046803076</v>
      </c>
      <c r="N20" s="235"/>
      <c r="O20" s="230"/>
      <c r="P20" s="235"/>
      <c r="Q20" s="234">
        <f>Q21+Q193+Q239+Q285+Q404</f>
        <v>925568244</v>
      </c>
      <c r="R20" s="236">
        <f>Q20/M20*100%</f>
        <v>0.8841856364587144</v>
      </c>
      <c r="S20" s="234">
        <f>S21+S193+S239+S285+S404</f>
        <v>0</v>
      </c>
      <c r="T20" s="234">
        <f>T21+T193+T239+T285+T404</f>
        <v>0</v>
      </c>
      <c r="U20" s="234">
        <f>U21+U193+U239+U285+U404</f>
        <v>925968244</v>
      </c>
      <c r="V20" s="234">
        <f>V21+V193+V239+V285+V404</f>
        <v>0</v>
      </c>
    </row>
    <row r="21" spans="1:23" s="114" customFormat="1" ht="28.5" customHeight="1">
      <c r="A21" s="229" t="s">
        <v>362</v>
      </c>
      <c r="B21" s="229" t="s">
        <v>960</v>
      </c>
      <c r="C21" s="229" t="s">
        <v>959</v>
      </c>
      <c r="D21" s="229"/>
      <c r="E21" s="229"/>
      <c r="F21" s="229"/>
      <c r="G21" s="229" t="s">
        <v>959</v>
      </c>
      <c r="H21" s="230" t="s">
        <v>157</v>
      </c>
      <c r="I21" s="230"/>
      <c r="J21" s="231"/>
      <c r="K21" s="232"/>
      <c r="L21" s="237"/>
      <c r="M21" s="234">
        <f>+M22+M28+M53+M80+M132+M139+M149+M156</f>
        <v>852493317</v>
      </c>
      <c r="N21" s="235"/>
      <c r="O21" s="230"/>
      <c r="P21" s="235"/>
      <c r="Q21" s="234">
        <f>Q22+Q28+Q53+Q80+Q132+Q139+Q149+Q156</f>
        <v>820794044</v>
      </c>
      <c r="R21" s="236">
        <f>Q21/M21*100%</f>
        <v>0.96281581055491139</v>
      </c>
      <c r="S21" s="234">
        <f>S22+S28+S53+S80+S132+S139+S149+S156</f>
        <v>0</v>
      </c>
      <c r="T21" s="234">
        <f>T22+T28+T53+T80+T132+T139+T149+T156</f>
        <v>0</v>
      </c>
      <c r="U21" s="234">
        <f>U22+U28+U53+U80+U132+U139+U149+U156</f>
        <v>823134044</v>
      </c>
      <c r="V21" s="234">
        <f>V22+V28+V53+V80+V132+V139+V149+V156</f>
        <v>0</v>
      </c>
    </row>
    <row r="22" spans="1:23" ht="28.5" customHeight="1">
      <c r="A22" s="229" t="s">
        <v>362</v>
      </c>
      <c r="B22" s="229" t="s">
        <v>960</v>
      </c>
      <c r="C22" s="229" t="s">
        <v>960</v>
      </c>
      <c r="D22" s="229"/>
      <c r="E22" s="229"/>
      <c r="F22" s="229"/>
      <c r="G22" s="229"/>
      <c r="H22" s="238" t="s">
        <v>354</v>
      </c>
      <c r="I22" s="238" t="s">
        <v>961</v>
      </c>
      <c r="J22" s="239"/>
      <c r="K22" s="240">
        <v>12</v>
      </c>
      <c r="L22" s="241" t="s">
        <v>1073</v>
      </c>
      <c r="M22" s="234">
        <f>+M23</f>
        <v>47640000</v>
      </c>
      <c r="N22" s="242"/>
      <c r="O22" s="240">
        <v>12</v>
      </c>
      <c r="P22" s="241" t="s">
        <v>1073</v>
      </c>
      <c r="Q22" s="234">
        <f>+Q23</f>
        <v>47640000</v>
      </c>
      <c r="R22" s="236">
        <f>Q22/M22*100%</f>
        <v>1</v>
      </c>
      <c r="S22" s="234">
        <f t="shared" ref="S22:V23" si="0">+S23</f>
        <v>0</v>
      </c>
      <c r="T22" s="234">
        <f t="shared" si="0"/>
        <v>0</v>
      </c>
      <c r="U22" s="234">
        <f t="shared" si="0"/>
        <v>47640000</v>
      </c>
      <c r="V22" s="234">
        <f t="shared" si="0"/>
        <v>0</v>
      </c>
      <c r="W22" s="115"/>
    </row>
    <row r="23" spans="1:23" ht="28.5" hidden="1" customHeight="1">
      <c r="A23" s="244" t="s">
        <v>362</v>
      </c>
      <c r="B23" s="244" t="s">
        <v>960</v>
      </c>
      <c r="C23" s="244" t="s">
        <v>960</v>
      </c>
      <c r="D23" s="244" t="s">
        <v>363</v>
      </c>
      <c r="E23" s="244" t="s">
        <v>362</v>
      </c>
      <c r="F23" s="244" t="s">
        <v>959</v>
      </c>
      <c r="G23" s="244" t="s">
        <v>959</v>
      </c>
      <c r="H23" s="245" t="s">
        <v>132</v>
      </c>
      <c r="I23" s="238"/>
      <c r="J23" s="246"/>
      <c r="K23" s="247"/>
      <c r="L23" s="248"/>
      <c r="M23" s="249">
        <f>+M24</f>
        <v>47640000</v>
      </c>
      <c r="N23" s="250"/>
      <c r="O23" s="245"/>
      <c r="P23" s="250"/>
      <c r="Q23" s="249">
        <f>+Q24</f>
        <v>47640000</v>
      </c>
      <c r="R23" s="251" t="str">
        <f t="shared" ref="R23:R26" si="1">IF(J23="","",Q23/M23)</f>
        <v/>
      </c>
      <c r="S23" s="249">
        <f t="shared" si="0"/>
        <v>0</v>
      </c>
      <c r="T23" s="249">
        <f t="shared" si="0"/>
        <v>0</v>
      </c>
      <c r="U23" s="249">
        <f t="shared" si="0"/>
        <v>47640000</v>
      </c>
      <c r="V23" s="249">
        <f t="shared" si="0"/>
        <v>0</v>
      </c>
      <c r="W23" s="115"/>
    </row>
    <row r="24" spans="1:23" ht="28.5" hidden="1" customHeight="1">
      <c r="A24" s="252" t="s">
        <v>362</v>
      </c>
      <c r="B24" s="252" t="s">
        <v>960</v>
      </c>
      <c r="C24" s="252" t="s">
        <v>960</v>
      </c>
      <c r="D24" s="252" t="s">
        <v>363</v>
      </c>
      <c r="E24" s="252" t="s">
        <v>362</v>
      </c>
      <c r="F24" s="252" t="s">
        <v>362</v>
      </c>
      <c r="G24" s="252" t="s">
        <v>959</v>
      </c>
      <c r="H24" s="253" t="s">
        <v>962</v>
      </c>
      <c r="I24" s="238"/>
      <c r="J24" s="254"/>
      <c r="K24" s="255"/>
      <c r="L24" s="256"/>
      <c r="M24" s="257">
        <f>+SUM(M25:M27)</f>
        <v>47640000</v>
      </c>
      <c r="N24" s="258"/>
      <c r="O24" s="253"/>
      <c r="P24" s="258"/>
      <c r="Q24" s="257">
        <f>+SUM(Q25:Q27)</f>
        <v>47640000</v>
      </c>
      <c r="R24" s="259" t="str">
        <f t="shared" si="1"/>
        <v/>
      </c>
      <c r="S24" s="257">
        <f>+SUM(S25:S27)</f>
        <v>0</v>
      </c>
      <c r="T24" s="257">
        <f>+SUM(T25:T27)</f>
        <v>0</v>
      </c>
      <c r="U24" s="257">
        <f>+SUM(U25:U27)</f>
        <v>47640000</v>
      </c>
      <c r="V24" s="257">
        <f>+SUM(V25:V27)</f>
        <v>0</v>
      </c>
      <c r="W24" s="115"/>
    </row>
    <row r="25" spans="1:23" ht="28.5" hidden="1" customHeight="1">
      <c r="A25" s="260" t="s">
        <v>362</v>
      </c>
      <c r="B25" s="260" t="s">
        <v>960</v>
      </c>
      <c r="C25" s="260" t="s">
        <v>960</v>
      </c>
      <c r="D25" s="260" t="s">
        <v>363</v>
      </c>
      <c r="E25" s="260" t="s">
        <v>362</v>
      </c>
      <c r="F25" s="260" t="s">
        <v>362</v>
      </c>
      <c r="G25" s="260" t="s">
        <v>963</v>
      </c>
      <c r="H25" s="261" t="s">
        <v>964</v>
      </c>
      <c r="I25" s="238"/>
      <c r="J25" s="262"/>
      <c r="K25" s="263"/>
      <c r="L25" s="264"/>
      <c r="M25" s="265"/>
      <c r="N25" s="266"/>
      <c r="O25" s="261"/>
      <c r="P25" s="266"/>
      <c r="Q25" s="266"/>
      <c r="R25" s="267" t="str">
        <f t="shared" si="1"/>
        <v/>
      </c>
      <c r="S25" s="266"/>
      <c r="T25" s="266"/>
      <c r="U25" s="266"/>
      <c r="V25" s="266"/>
      <c r="W25" s="115"/>
    </row>
    <row r="26" spans="1:23" ht="28.5" hidden="1" customHeight="1">
      <c r="A26" s="260"/>
      <c r="B26" s="260"/>
      <c r="C26" s="260"/>
      <c r="D26" s="260"/>
      <c r="E26" s="260"/>
      <c r="F26" s="260"/>
      <c r="G26" s="260"/>
      <c r="H26" s="268" t="s">
        <v>965</v>
      </c>
      <c r="I26" s="238"/>
      <c r="J26" s="262">
        <v>12</v>
      </c>
      <c r="K26" s="263" t="s">
        <v>966</v>
      </c>
      <c r="L26" s="264">
        <v>3670000</v>
      </c>
      <c r="M26" s="265">
        <f>+J26*L26</f>
        <v>44040000</v>
      </c>
      <c r="N26" s="266">
        <v>12</v>
      </c>
      <c r="O26" s="261" t="s">
        <v>967</v>
      </c>
      <c r="P26" s="264">
        <v>3670000</v>
      </c>
      <c r="Q26" s="266">
        <f>+N26*P26</f>
        <v>44040000</v>
      </c>
      <c r="R26" s="267">
        <f t="shared" si="1"/>
        <v>1</v>
      </c>
      <c r="S26" s="266">
        <f>+IF(W26="DDS",Q26,0)</f>
        <v>0</v>
      </c>
      <c r="T26" s="266">
        <f>+IF(W26="ADD",Q26,0)</f>
        <v>0</v>
      </c>
      <c r="U26" s="266">
        <f>+IF(W26="DDS",0,IF(W26="ADD",0,Q26))</f>
        <v>44040000</v>
      </c>
      <c r="V26" s="266">
        <v>0</v>
      </c>
      <c r="W26" s="115"/>
    </row>
    <row r="27" spans="1:23" ht="28.5" hidden="1" customHeight="1">
      <c r="A27" s="260"/>
      <c r="B27" s="260"/>
      <c r="C27" s="260"/>
      <c r="D27" s="260"/>
      <c r="E27" s="260"/>
      <c r="F27" s="260"/>
      <c r="G27" s="260"/>
      <c r="H27" s="268" t="s">
        <v>968</v>
      </c>
      <c r="I27" s="238"/>
      <c r="J27" s="262">
        <v>1</v>
      </c>
      <c r="K27" s="263" t="s">
        <v>966</v>
      </c>
      <c r="L27" s="264">
        <v>3600000</v>
      </c>
      <c r="M27" s="265">
        <f>+J27*L27</f>
        <v>3600000</v>
      </c>
      <c r="N27" s="266">
        <v>1</v>
      </c>
      <c r="O27" s="261" t="s">
        <v>967</v>
      </c>
      <c r="P27" s="266">
        <v>3600000</v>
      </c>
      <c r="Q27" s="266">
        <f>+N27*P27</f>
        <v>3600000</v>
      </c>
      <c r="R27" s="267">
        <f>IF(J27="","",Q27/M27)</f>
        <v>1</v>
      </c>
      <c r="S27" s="266">
        <f>+IF(W27="DDS",Q27,0)</f>
        <v>0</v>
      </c>
      <c r="T27" s="266">
        <f>+IF(W27="ADD",Q27,0)</f>
        <v>0</v>
      </c>
      <c r="U27" s="266">
        <f>+IF(W27="DDS",0,IF(W27="ADD",0,Q27))</f>
        <v>3600000</v>
      </c>
      <c r="V27" s="266">
        <v>0</v>
      </c>
      <c r="W27" s="115"/>
    </row>
    <row r="28" spans="1:23" ht="28.5" customHeight="1">
      <c r="A28" s="229" t="s">
        <v>362</v>
      </c>
      <c r="B28" s="229" t="s">
        <v>960</v>
      </c>
      <c r="C28" s="229" t="s">
        <v>963</v>
      </c>
      <c r="D28" s="229"/>
      <c r="E28" s="229"/>
      <c r="F28" s="229"/>
      <c r="G28" s="229" t="s">
        <v>959</v>
      </c>
      <c r="H28" s="238" t="s">
        <v>355</v>
      </c>
      <c r="I28" s="238" t="s">
        <v>969</v>
      </c>
      <c r="J28" s="239"/>
      <c r="K28" s="240">
        <v>12</v>
      </c>
      <c r="L28" s="241" t="s">
        <v>1073</v>
      </c>
      <c r="M28" s="234">
        <f>+M29</f>
        <v>523164600</v>
      </c>
      <c r="N28" s="242"/>
      <c r="O28" s="240">
        <v>12</v>
      </c>
      <c r="P28" s="241" t="s">
        <v>1073</v>
      </c>
      <c r="Q28" s="234">
        <f>+Q29</f>
        <v>519209300</v>
      </c>
      <c r="R28" s="236">
        <f>Q28/M28*100%</f>
        <v>0.99243966430450381</v>
      </c>
      <c r="S28" s="234">
        <f>+S29</f>
        <v>0</v>
      </c>
      <c r="T28" s="234">
        <f t="shared" ref="S28:V29" si="2">+T29</f>
        <v>0</v>
      </c>
      <c r="U28" s="234">
        <f t="shared" si="2"/>
        <v>519209300</v>
      </c>
      <c r="V28" s="234">
        <f t="shared" si="2"/>
        <v>0</v>
      </c>
      <c r="W28" s="115"/>
    </row>
    <row r="29" spans="1:23" ht="28.5" hidden="1" customHeight="1">
      <c r="A29" s="244" t="s">
        <v>362</v>
      </c>
      <c r="B29" s="244" t="s">
        <v>960</v>
      </c>
      <c r="C29" s="244" t="s">
        <v>963</v>
      </c>
      <c r="D29" s="244" t="s">
        <v>363</v>
      </c>
      <c r="E29" s="244" t="s">
        <v>362</v>
      </c>
      <c r="F29" s="244" t="s">
        <v>959</v>
      </c>
      <c r="G29" s="244" t="s">
        <v>959</v>
      </c>
      <c r="H29" s="245" t="s">
        <v>132</v>
      </c>
      <c r="I29" s="238"/>
      <c r="J29" s="246"/>
      <c r="K29" s="247"/>
      <c r="L29" s="248"/>
      <c r="M29" s="249">
        <f>+M30</f>
        <v>523164600</v>
      </c>
      <c r="N29" s="250"/>
      <c r="O29" s="245"/>
      <c r="P29" s="250"/>
      <c r="Q29" s="249">
        <f>+Q30</f>
        <v>519209300</v>
      </c>
      <c r="R29" s="249"/>
      <c r="S29" s="249">
        <f t="shared" si="2"/>
        <v>0</v>
      </c>
      <c r="T29" s="249">
        <f t="shared" si="2"/>
        <v>0</v>
      </c>
      <c r="U29" s="249">
        <f t="shared" si="2"/>
        <v>519209300</v>
      </c>
      <c r="V29" s="249">
        <f t="shared" si="2"/>
        <v>0</v>
      </c>
      <c r="W29" s="115"/>
    </row>
    <row r="30" spans="1:23" ht="28.5" hidden="1" customHeight="1">
      <c r="A30" s="252" t="s">
        <v>362</v>
      </c>
      <c r="B30" s="252" t="s">
        <v>960</v>
      </c>
      <c r="C30" s="252" t="s">
        <v>963</v>
      </c>
      <c r="D30" s="252" t="s">
        <v>363</v>
      </c>
      <c r="E30" s="252" t="s">
        <v>362</v>
      </c>
      <c r="F30" s="252" t="s">
        <v>970</v>
      </c>
      <c r="G30" s="252" t="s">
        <v>959</v>
      </c>
      <c r="H30" s="253" t="s">
        <v>971</v>
      </c>
      <c r="I30" s="238"/>
      <c r="J30" s="254"/>
      <c r="K30" s="255"/>
      <c r="L30" s="256"/>
      <c r="M30" s="257">
        <f>+SUM(M31:M52)</f>
        <v>523164600</v>
      </c>
      <c r="N30" s="258"/>
      <c r="O30" s="253"/>
      <c r="P30" s="258"/>
      <c r="Q30" s="257">
        <f>+SUM(Q31:Q52)</f>
        <v>519209300</v>
      </c>
      <c r="R30" s="236">
        <f>Q30/M30*100%</f>
        <v>0.99243966430450381</v>
      </c>
      <c r="S30" s="257">
        <f>+SUM(S31:S52)</f>
        <v>0</v>
      </c>
      <c r="T30" s="257">
        <f>+SUM(T31:T52)</f>
        <v>0</v>
      </c>
      <c r="U30" s="257">
        <f>+SUM(U31:U52)</f>
        <v>519209300</v>
      </c>
      <c r="V30" s="257">
        <f>+SUM(V31:V52)</f>
        <v>0</v>
      </c>
      <c r="W30" s="115"/>
    </row>
    <row r="31" spans="1:23" s="114" customFormat="1" ht="28.5" hidden="1" customHeight="1">
      <c r="A31" s="260" t="s">
        <v>362</v>
      </c>
      <c r="B31" s="260" t="s">
        <v>960</v>
      </c>
      <c r="C31" s="260" t="s">
        <v>963</v>
      </c>
      <c r="D31" s="260" t="s">
        <v>363</v>
      </c>
      <c r="E31" s="260" t="s">
        <v>362</v>
      </c>
      <c r="F31" s="260" t="s">
        <v>970</v>
      </c>
      <c r="G31" s="260" t="s">
        <v>960</v>
      </c>
      <c r="H31" s="261" t="s">
        <v>972</v>
      </c>
      <c r="I31" s="238"/>
      <c r="J31" s="262"/>
      <c r="K31" s="263"/>
      <c r="L31" s="264"/>
      <c r="M31" s="265"/>
      <c r="N31" s="266"/>
      <c r="O31" s="261"/>
      <c r="P31" s="266"/>
      <c r="Q31" s="266"/>
      <c r="R31" s="267"/>
      <c r="S31" s="266"/>
      <c r="T31" s="266"/>
      <c r="U31" s="266"/>
      <c r="V31" s="266">
        <v>0</v>
      </c>
      <c r="W31" s="116"/>
    </row>
    <row r="32" spans="1:23" ht="28.5" hidden="1" customHeight="1">
      <c r="A32" s="260"/>
      <c r="B32" s="260"/>
      <c r="C32" s="260"/>
      <c r="D32" s="260"/>
      <c r="E32" s="260"/>
      <c r="F32" s="260"/>
      <c r="G32" s="260"/>
      <c r="H32" s="268" t="s">
        <v>973</v>
      </c>
      <c r="I32" s="238"/>
      <c r="J32" s="262">
        <v>12</v>
      </c>
      <c r="K32" s="263" t="s">
        <v>966</v>
      </c>
      <c r="L32" s="264">
        <v>2920000</v>
      </c>
      <c r="M32" s="265">
        <f t="shared" ref="M32:M50" si="3">+J32*L32</f>
        <v>35040000</v>
      </c>
      <c r="N32" s="266">
        <v>12</v>
      </c>
      <c r="O32" s="261" t="s">
        <v>967</v>
      </c>
      <c r="P32" s="264">
        <v>2891450</v>
      </c>
      <c r="Q32" s="266">
        <f>N32*P32</f>
        <v>34697400</v>
      </c>
      <c r="R32" s="267">
        <f t="shared" ref="R32:R52" si="4">IF(J32="","",Q32/M32)</f>
        <v>0.99022260273972607</v>
      </c>
      <c r="S32" s="266">
        <f t="shared" ref="S32:S52" si="5">+IF(W32="DDS",Q32,0)</f>
        <v>0</v>
      </c>
      <c r="T32" s="266">
        <f>+IF(W32="ADD",Q32,0)</f>
        <v>0</v>
      </c>
      <c r="U32" s="266">
        <f t="shared" ref="U32:U52" si="6">+IF(W32="DDS",0,IF(W32="ADD",0,Q32))</f>
        <v>34697400</v>
      </c>
      <c r="V32" s="266">
        <v>0</v>
      </c>
      <c r="W32" s="115"/>
    </row>
    <row r="33" spans="1:23" ht="28.5" hidden="1" customHeight="1">
      <c r="A33" s="260"/>
      <c r="B33" s="260"/>
      <c r="C33" s="260"/>
      <c r="D33" s="260"/>
      <c r="E33" s="260"/>
      <c r="F33" s="260"/>
      <c r="G33" s="260"/>
      <c r="H33" s="268" t="s">
        <v>974</v>
      </c>
      <c r="I33" s="238"/>
      <c r="J33" s="262">
        <v>12</v>
      </c>
      <c r="K33" s="263" t="s">
        <v>966</v>
      </c>
      <c r="L33" s="264">
        <v>2615000</v>
      </c>
      <c r="M33" s="265">
        <f t="shared" si="3"/>
        <v>31380000</v>
      </c>
      <c r="N33" s="266">
        <v>12</v>
      </c>
      <c r="O33" s="261" t="s">
        <v>967</v>
      </c>
      <c r="P33" s="264">
        <v>2605000</v>
      </c>
      <c r="Q33" s="266">
        <f>N33*P33</f>
        <v>31260000</v>
      </c>
      <c r="R33" s="267">
        <f t="shared" si="4"/>
        <v>0.99617590822179736</v>
      </c>
      <c r="S33" s="266">
        <f t="shared" si="5"/>
        <v>0</v>
      </c>
      <c r="T33" s="266">
        <f t="shared" ref="T33:T52" si="7">+IF(W33="ADD",Q33,0)</f>
        <v>0</v>
      </c>
      <c r="U33" s="266">
        <f t="shared" si="6"/>
        <v>31260000</v>
      </c>
      <c r="V33" s="266">
        <v>0</v>
      </c>
      <c r="W33" s="115"/>
    </row>
    <row r="34" spans="1:23" ht="28.5" hidden="1" customHeight="1">
      <c r="A34" s="260"/>
      <c r="B34" s="260"/>
      <c r="C34" s="260"/>
      <c r="D34" s="260"/>
      <c r="E34" s="260"/>
      <c r="F34" s="260"/>
      <c r="G34" s="260"/>
      <c r="H34" s="268" t="s">
        <v>975</v>
      </c>
      <c r="I34" s="238"/>
      <c r="J34" s="262">
        <v>12</v>
      </c>
      <c r="K34" s="263" t="s">
        <v>966</v>
      </c>
      <c r="L34" s="264">
        <v>2615000</v>
      </c>
      <c r="M34" s="265">
        <f t="shared" si="3"/>
        <v>31380000</v>
      </c>
      <c r="N34" s="266">
        <v>12</v>
      </c>
      <c r="O34" s="261" t="s">
        <v>967</v>
      </c>
      <c r="P34" s="264">
        <v>2605000</v>
      </c>
      <c r="Q34" s="266">
        <f t="shared" ref="Q34:Q44" si="8">N34*P34</f>
        <v>31260000</v>
      </c>
      <c r="R34" s="267">
        <f t="shared" si="4"/>
        <v>0.99617590822179736</v>
      </c>
      <c r="S34" s="266">
        <f t="shared" si="5"/>
        <v>0</v>
      </c>
      <c r="T34" s="266">
        <f t="shared" si="7"/>
        <v>0</v>
      </c>
      <c r="U34" s="266">
        <f t="shared" si="6"/>
        <v>31260000</v>
      </c>
      <c r="V34" s="266">
        <v>0</v>
      </c>
      <c r="W34" s="115"/>
    </row>
    <row r="35" spans="1:23" ht="28.5" hidden="1" customHeight="1">
      <c r="A35" s="229"/>
      <c r="B35" s="229"/>
      <c r="C35" s="229"/>
      <c r="D35" s="260"/>
      <c r="E35" s="260"/>
      <c r="F35" s="260"/>
      <c r="G35" s="260"/>
      <c r="H35" s="268" t="s">
        <v>976</v>
      </c>
      <c r="I35" s="238"/>
      <c r="J35" s="262">
        <v>12</v>
      </c>
      <c r="K35" s="263" t="s">
        <v>966</v>
      </c>
      <c r="L35" s="264">
        <v>2615000</v>
      </c>
      <c r="M35" s="265">
        <f t="shared" si="3"/>
        <v>31380000</v>
      </c>
      <c r="N35" s="266">
        <v>12</v>
      </c>
      <c r="O35" s="261" t="s">
        <v>967</v>
      </c>
      <c r="P35" s="264">
        <v>2605000</v>
      </c>
      <c r="Q35" s="266">
        <f t="shared" si="8"/>
        <v>31260000</v>
      </c>
      <c r="R35" s="267">
        <f t="shared" si="4"/>
        <v>0.99617590822179736</v>
      </c>
      <c r="S35" s="266">
        <f t="shared" si="5"/>
        <v>0</v>
      </c>
      <c r="T35" s="266">
        <f t="shared" si="7"/>
        <v>0</v>
      </c>
      <c r="U35" s="266">
        <f t="shared" si="6"/>
        <v>31260000</v>
      </c>
      <c r="V35" s="266">
        <v>0</v>
      </c>
      <c r="W35" s="115"/>
    </row>
    <row r="36" spans="1:23" ht="28.5" hidden="1" customHeight="1">
      <c r="A36" s="244"/>
      <c r="B36" s="244"/>
      <c r="C36" s="244"/>
      <c r="D36" s="260"/>
      <c r="E36" s="260"/>
      <c r="F36" s="260"/>
      <c r="G36" s="260"/>
      <c r="H36" s="268" t="s">
        <v>977</v>
      </c>
      <c r="I36" s="238"/>
      <c r="J36" s="262">
        <v>12</v>
      </c>
      <c r="K36" s="263" t="s">
        <v>966</v>
      </c>
      <c r="L36" s="264">
        <v>2615000</v>
      </c>
      <c r="M36" s="265">
        <f t="shared" si="3"/>
        <v>31380000</v>
      </c>
      <c r="N36" s="266">
        <v>12</v>
      </c>
      <c r="O36" s="261" t="s">
        <v>967</v>
      </c>
      <c r="P36" s="264">
        <v>2605000</v>
      </c>
      <c r="Q36" s="266">
        <f t="shared" si="8"/>
        <v>31260000</v>
      </c>
      <c r="R36" s="267">
        <f t="shared" si="4"/>
        <v>0.99617590822179736</v>
      </c>
      <c r="S36" s="266">
        <f t="shared" si="5"/>
        <v>0</v>
      </c>
      <c r="T36" s="266">
        <f t="shared" si="7"/>
        <v>0</v>
      </c>
      <c r="U36" s="266">
        <f t="shared" si="6"/>
        <v>31260000</v>
      </c>
      <c r="V36" s="266">
        <v>0</v>
      </c>
      <c r="W36" s="115"/>
    </row>
    <row r="37" spans="1:23" ht="28.5" hidden="1" customHeight="1">
      <c r="A37" s="252"/>
      <c r="B37" s="252"/>
      <c r="C37" s="252"/>
      <c r="D37" s="260"/>
      <c r="E37" s="260"/>
      <c r="F37" s="260"/>
      <c r="G37" s="260"/>
      <c r="H37" s="268" t="s">
        <v>978</v>
      </c>
      <c r="I37" s="238"/>
      <c r="J37" s="262">
        <v>12</v>
      </c>
      <c r="K37" s="263" t="s">
        <v>966</v>
      </c>
      <c r="L37" s="264">
        <v>2615000</v>
      </c>
      <c r="M37" s="265">
        <f t="shared" si="3"/>
        <v>31380000</v>
      </c>
      <c r="N37" s="266">
        <v>12</v>
      </c>
      <c r="O37" s="261" t="s">
        <v>967</v>
      </c>
      <c r="P37" s="264">
        <v>2605000</v>
      </c>
      <c r="Q37" s="266">
        <f t="shared" si="8"/>
        <v>31260000</v>
      </c>
      <c r="R37" s="267">
        <f t="shared" si="4"/>
        <v>0.99617590822179736</v>
      </c>
      <c r="S37" s="266">
        <f t="shared" si="5"/>
        <v>0</v>
      </c>
      <c r="T37" s="266">
        <f t="shared" si="7"/>
        <v>0</v>
      </c>
      <c r="U37" s="266">
        <f t="shared" si="6"/>
        <v>31260000</v>
      </c>
      <c r="V37" s="266">
        <v>0</v>
      </c>
      <c r="W37" s="115"/>
    </row>
    <row r="38" spans="1:23" s="114" customFormat="1" ht="28.5" hidden="1" customHeight="1">
      <c r="A38" s="260"/>
      <c r="B38" s="260"/>
      <c r="C38" s="260"/>
      <c r="D38" s="260"/>
      <c r="E38" s="260"/>
      <c r="F38" s="260"/>
      <c r="G38" s="260"/>
      <c r="H38" s="268" t="s">
        <v>979</v>
      </c>
      <c r="I38" s="238"/>
      <c r="J38" s="262">
        <v>12</v>
      </c>
      <c r="K38" s="263" t="s">
        <v>966</v>
      </c>
      <c r="L38" s="264">
        <v>2615000</v>
      </c>
      <c r="M38" s="265">
        <f t="shared" si="3"/>
        <v>31380000</v>
      </c>
      <c r="N38" s="266">
        <v>12</v>
      </c>
      <c r="O38" s="261" t="s">
        <v>967</v>
      </c>
      <c r="P38" s="264">
        <v>2605000</v>
      </c>
      <c r="Q38" s="266">
        <f t="shared" si="8"/>
        <v>31260000</v>
      </c>
      <c r="R38" s="267">
        <f t="shared" si="4"/>
        <v>0.99617590822179736</v>
      </c>
      <c r="S38" s="266">
        <f t="shared" si="5"/>
        <v>0</v>
      </c>
      <c r="T38" s="266">
        <f t="shared" si="7"/>
        <v>0</v>
      </c>
      <c r="U38" s="266">
        <f t="shared" si="6"/>
        <v>31260000</v>
      </c>
      <c r="V38" s="266">
        <v>0</v>
      </c>
      <c r="W38" s="116"/>
    </row>
    <row r="39" spans="1:23" ht="28.5" hidden="1" customHeight="1">
      <c r="A39" s="260"/>
      <c r="B39" s="260"/>
      <c r="C39" s="260"/>
      <c r="D39" s="260"/>
      <c r="E39" s="260"/>
      <c r="F39" s="260"/>
      <c r="G39" s="260"/>
      <c r="H39" s="268" t="s">
        <v>980</v>
      </c>
      <c r="I39" s="238"/>
      <c r="J39" s="262">
        <v>12</v>
      </c>
      <c r="K39" s="263" t="s">
        <v>966</v>
      </c>
      <c r="L39" s="264">
        <v>2455000</v>
      </c>
      <c r="M39" s="265">
        <f t="shared" si="3"/>
        <v>29460000</v>
      </c>
      <c r="N39" s="266">
        <v>12</v>
      </c>
      <c r="O39" s="261" t="s">
        <v>967</v>
      </c>
      <c r="P39" s="264">
        <v>2455000</v>
      </c>
      <c r="Q39" s="266">
        <f t="shared" si="8"/>
        <v>29460000</v>
      </c>
      <c r="R39" s="267">
        <f t="shared" si="4"/>
        <v>1</v>
      </c>
      <c r="S39" s="266">
        <f t="shared" si="5"/>
        <v>0</v>
      </c>
      <c r="T39" s="266">
        <f t="shared" si="7"/>
        <v>0</v>
      </c>
      <c r="U39" s="266">
        <f t="shared" si="6"/>
        <v>29460000</v>
      </c>
      <c r="V39" s="266">
        <v>0</v>
      </c>
      <c r="W39" s="115"/>
    </row>
    <row r="40" spans="1:23" ht="28.5" hidden="1" customHeight="1">
      <c r="A40" s="229"/>
      <c r="B40" s="229"/>
      <c r="C40" s="229"/>
      <c r="D40" s="260"/>
      <c r="E40" s="260"/>
      <c r="F40" s="260"/>
      <c r="G40" s="260"/>
      <c r="H40" s="268" t="s">
        <v>981</v>
      </c>
      <c r="I40" s="238"/>
      <c r="J40" s="262">
        <v>12</v>
      </c>
      <c r="K40" s="263" t="s">
        <v>966</v>
      </c>
      <c r="L40" s="264">
        <v>2455000</v>
      </c>
      <c r="M40" s="265">
        <f t="shared" si="3"/>
        <v>29460000</v>
      </c>
      <c r="N40" s="266">
        <v>12</v>
      </c>
      <c r="O40" s="261" t="s">
        <v>967</v>
      </c>
      <c r="P40" s="264">
        <v>2455000</v>
      </c>
      <c r="Q40" s="266">
        <f t="shared" si="8"/>
        <v>29460000</v>
      </c>
      <c r="R40" s="267">
        <f t="shared" si="4"/>
        <v>1</v>
      </c>
      <c r="S40" s="266">
        <f t="shared" si="5"/>
        <v>0</v>
      </c>
      <c r="T40" s="266">
        <f t="shared" si="7"/>
        <v>0</v>
      </c>
      <c r="U40" s="266">
        <f t="shared" si="6"/>
        <v>29460000</v>
      </c>
      <c r="V40" s="266">
        <v>0</v>
      </c>
      <c r="W40" s="115"/>
    </row>
    <row r="41" spans="1:23" ht="28.5" hidden="1" customHeight="1">
      <c r="A41" s="244"/>
      <c r="B41" s="244"/>
      <c r="C41" s="244"/>
      <c r="D41" s="260"/>
      <c r="E41" s="260"/>
      <c r="F41" s="260"/>
      <c r="G41" s="260"/>
      <c r="H41" s="268" t="s">
        <v>982</v>
      </c>
      <c r="I41" s="238"/>
      <c r="J41" s="262">
        <v>12</v>
      </c>
      <c r="K41" s="263" t="s">
        <v>966</v>
      </c>
      <c r="L41" s="264">
        <v>2455000</v>
      </c>
      <c r="M41" s="265">
        <f t="shared" si="3"/>
        <v>29460000</v>
      </c>
      <c r="N41" s="266">
        <v>12</v>
      </c>
      <c r="O41" s="261" t="s">
        <v>967</v>
      </c>
      <c r="P41" s="264">
        <v>2455000</v>
      </c>
      <c r="Q41" s="266">
        <f t="shared" si="8"/>
        <v>29460000</v>
      </c>
      <c r="R41" s="267">
        <f t="shared" si="4"/>
        <v>1</v>
      </c>
      <c r="S41" s="266">
        <f t="shared" si="5"/>
        <v>0</v>
      </c>
      <c r="T41" s="266">
        <f t="shared" si="7"/>
        <v>0</v>
      </c>
      <c r="U41" s="266">
        <f t="shared" si="6"/>
        <v>29460000</v>
      </c>
      <c r="V41" s="266">
        <v>0</v>
      </c>
      <c r="W41" s="115"/>
    </row>
    <row r="42" spans="1:23" ht="28.5" hidden="1" customHeight="1">
      <c r="A42" s="252"/>
      <c r="B42" s="252"/>
      <c r="C42" s="252"/>
      <c r="D42" s="260"/>
      <c r="E42" s="260"/>
      <c r="F42" s="260"/>
      <c r="G42" s="260"/>
      <c r="H42" s="268" t="s">
        <v>983</v>
      </c>
      <c r="I42" s="238"/>
      <c r="J42" s="262">
        <v>12</v>
      </c>
      <c r="K42" s="263" t="s">
        <v>966</v>
      </c>
      <c r="L42" s="264">
        <v>2455000</v>
      </c>
      <c r="M42" s="265">
        <f t="shared" si="3"/>
        <v>29460000</v>
      </c>
      <c r="N42" s="266">
        <v>12</v>
      </c>
      <c r="O42" s="261" t="s">
        <v>967</v>
      </c>
      <c r="P42" s="264">
        <v>2455000</v>
      </c>
      <c r="Q42" s="266">
        <f t="shared" si="8"/>
        <v>29460000</v>
      </c>
      <c r="R42" s="267">
        <f t="shared" si="4"/>
        <v>1</v>
      </c>
      <c r="S42" s="266">
        <f t="shared" si="5"/>
        <v>0</v>
      </c>
      <c r="T42" s="266">
        <f t="shared" si="7"/>
        <v>0</v>
      </c>
      <c r="U42" s="266">
        <f t="shared" si="6"/>
        <v>29460000</v>
      </c>
      <c r="V42" s="266">
        <v>0</v>
      </c>
      <c r="W42" s="115"/>
    </row>
    <row r="43" spans="1:23" s="114" customFormat="1" ht="28.5" hidden="1" customHeight="1">
      <c r="A43" s="260"/>
      <c r="B43" s="260"/>
      <c r="C43" s="260"/>
      <c r="D43" s="260"/>
      <c r="E43" s="260"/>
      <c r="F43" s="260"/>
      <c r="G43" s="260"/>
      <c r="H43" s="268" t="s">
        <v>984</v>
      </c>
      <c r="I43" s="238"/>
      <c r="J43" s="262">
        <v>12</v>
      </c>
      <c r="K43" s="263" t="s">
        <v>966</v>
      </c>
      <c r="L43" s="264">
        <v>2455000</v>
      </c>
      <c r="M43" s="265">
        <f t="shared" si="3"/>
        <v>29460000</v>
      </c>
      <c r="N43" s="266">
        <v>12</v>
      </c>
      <c r="O43" s="261" t="s">
        <v>967</v>
      </c>
      <c r="P43" s="264">
        <v>2455000</v>
      </c>
      <c r="Q43" s="266">
        <f t="shared" si="8"/>
        <v>29460000</v>
      </c>
      <c r="R43" s="267">
        <f t="shared" si="4"/>
        <v>1</v>
      </c>
      <c r="S43" s="266">
        <f t="shared" si="5"/>
        <v>0</v>
      </c>
      <c r="T43" s="266">
        <f t="shared" si="7"/>
        <v>0</v>
      </c>
      <c r="U43" s="266">
        <f t="shared" si="6"/>
        <v>29460000</v>
      </c>
      <c r="V43" s="266">
        <v>0</v>
      </c>
      <c r="W43" s="116"/>
    </row>
    <row r="44" spans="1:23" ht="37.5" hidden="1" customHeight="1">
      <c r="A44" s="260"/>
      <c r="B44" s="260"/>
      <c r="C44" s="260"/>
      <c r="D44" s="260"/>
      <c r="E44" s="260"/>
      <c r="F44" s="260"/>
      <c r="G44" s="260"/>
      <c r="H44" s="268" t="s">
        <v>985</v>
      </c>
      <c r="I44" s="238"/>
      <c r="J44" s="262">
        <v>12</v>
      </c>
      <c r="K44" s="263" t="s">
        <v>966</v>
      </c>
      <c r="L44" s="264">
        <v>2455000</v>
      </c>
      <c r="M44" s="265">
        <f t="shared" si="3"/>
        <v>29460000</v>
      </c>
      <c r="N44" s="266">
        <v>12</v>
      </c>
      <c r="O44" s="261" t="s">
        <v>967</v>
      </c>
      <c r="P44" s="264">
        <v>2430450</v>
      </c>
      <c r="Q44" s="266">
        <f t="shared" si="8"/>
        <v>29165400</v>
      </c>
      <c r="R44" s="267">
        <f t="shared" si="4"/>
        <v>0.99</v>
      </c>
      <c r="S44" s="266">
        <f t="shared" si="5"/>
        <v>0</v>
      </c>
      <c r="T44" s="266">
        <f t="shared" si="7"/>
        <v>0</v>
      </c>
      <c r="U44" s="266">
        <f t="shared" si="6"/>
        <v>29165400</v>
      </c>
      <c r="V44" s="266">
        <v>0</v>
      </c>
      <c r="W44" s="115"/>
    </row>
    <row r="45" spans="1:23" ht="37.5" hidden="1" customHeight="1">
      <c r="A45" s="260"/>
      <c r="B45" s="260"/>
      <c r="C45" s="260"/>
      <c r="D45" s="260"/>
      <c r="E45" s="260"/>
      <c r="F45" s="260"/>
      <c r="G45" s="260"/>
      <c r="H45" s="268" t="s">
        <v>986</v>
      </c>
      <c r="I45" s="238"/>
      <c r="J45" s="262">
        <v>12</v>
      </c>
      <c r="K45" s="263" t="s">
        <v>966</v>
      </c>
      <c r="L45" s="264">
        <v>2340000</v>
      </c>
      <c r="M45" s="265">
        <f t="shared" si="3"/>
        <v>28080000</v>
      </c>
      <c r="N45" s="266">
        <v>12</v>
      </c>
      <c r="O45" s="261" t="s">
        <v>967</v>
      </c>
      <c r="P45" s="264">
        <v>2340000</v>
      </c>
      <c r="Q45" s="266">
        <v>25481900</v>
      </c>
      <c r="R45" s="267">
        <f t="shared" si="4"/>
        <v>0.90747507122507121</v>
      </c>
      <c r="S45" s="266">
        <f t="shared" si="5"/>
        <v>0</v>
      </c>
      <c r="T45" s="266">
        <f t="shared" si="7"/>
        <v>0</v>
      </c>
      <c r="U45" s="266">
        <f t="shared" si="6"/>
        <v>25481900</v>
      </c>
      <c r="V45" s="266">
        <v>0</v>
      </c>
      <c r="W45" s="115"/>
    </row>
    <row r="46" spans="1:23" ht="37.5" hidden="1" customHeight="1">
      <c r="A46" s="260"/>
      <c r="B46" s="260"/>
      <c r="C46" s="260"/>
      <c r="D46" s="260"/>
      <c r="E46" s="260"/>
      <c r="F46" s="260"/>
      <c r="G46" s="260"/>
      <c r="H46" s="268" t="s">
        <v>987</v>
      </c>
      <c r="I46" s="238"/>
      <c r="J46" s="262">
        <v>24</v>
      </c>
      <c r="K46" s="263" t="s">
        <v>966</v>
      </c>
      <c r="L46" s="264">
        <v>2330350</v>
      </c>
      <c r="M46" s="265">
        <f>+J46*L46</f>
        <v>55928400</v>
      </c>
      <c r="N46" s="266">
        <v>24</v>
      </c>
      <c r="O46" s="261" t="s">
        <v>967</v>
      </c>
      <c r="P46" s="264">
        <v>2330350</v>
      </c>
      <c r="Q46" s="266">
        <f>N46*P46</f>
        <v>55928400</v>
      </c>
      <c r="R46" s="267">
        <f t="shared" si="4"/>
        <v>1</v>
      </c>
      <c r="S46" s="266">
        <f t="shared" si="5"/>
        <v>0</v>
      </c>
      <c r="T46" s="266">
        <f t="shared" si="7"/>
        <v>0</v>
      </c>
      <c r="U46" s="266">
        <f t="shared" si="6"/>
        <v>55928400</v>
      </c>
      <c r="V46" s="266">
        <v>0</v>
      </c>
      <c r="W46" s="115"/>
    </row>
    <row r="47" spans="1:23" ht="37.5" hidden="1" customHeight="1">
      <c r="A47" s="260" t="s">
        <v>362</v>
      </c>
      <c r="B47" s="260" t="s">
        <v>960</v>
      </c>
      <c r="C47" s="269" t="s">
        <v>963</v>
      </c>
      <c r="D47" s="260" t="s">
        <v>363</v>
      </c>
      <c r="E47" s="260" t="s">
        <v>362</v>
      </c>
      <c r="F47" s="260" t="s">
        <v>970</v>
      </c>
      <c r="G47" s="260" t="s">
        <v>963</v>
      </c>
      <c r="H47" s="261" t="s">
        <v>988</v>
      </c>
      <c r="I47" s="238"/>
      <c r="J47" s="262"/>
      <c r="K47" s="263"/>
      <c r="L47" s="264"/>
      <c r="M47" s="265"/>
      <c r="N47" s="266">
        <v>0</v>
      </c>
      <c r="O47" s="261"/>
      <c r="P47" s="266"/>
      <c r="Q47" s="266"/>
      <c r="R47" s="267" t="str">
        <f t="shared" si="4"/>
        <v/>
      </c>
      <c r="S47" s="266">
        <f t="shared" si="5"/>
        <v>0</v>
      </c>
      <c r="T47" s="266">
        <f t="shared" si="7"/>
        <v>0</v>
      </c>
      <c r="U47" s="266">
        <f t="shared" si="6"/>
        <v>0</v>
      </c>
      <c r="V47" s="266">
        <v>0</v>
      </c>
      <c r="W47" s="115"/>
    </row>
    <row r="48" spans="1:23" ht="28.5" hidden="1" customHeight="1">
      <c r="A48" s="260"/>
      <c r="B48" s="260"/>
      <c r="C48" s="260"/>
      <c r="D48" s="260"/>
      <c r="E48" s="260"/>
      <c r="F48" s="260"/>
      <c r="G48" s="260"/>
      <c r="H48" s="268" t="s">
        <v>989</v>
      </c>
      <c r="I48" s="238"/>
      <c r="J48" s="262">
        <v>1</v>
      </c>
      <c r="K48" s="263" t="s">
        <v>990</v>
      </c>
      <c r="L48" s="264">
        <v>2850000</v>
      </c>
      <c r="M48" s="265">
        <f t="shared" si="3"/>
        <v>2850000</v>
      </c>
      <c r="N48" s="262">
        <v>1</v>
      </c>
      <c r="O48" s="261" t="s">
        <v>967</v>
      </c>
      <c r="P48" s="264">
        <v>2850000</v>
      </c>
      <c r="Q48" s="266">
        <f>+N48*P48</f>
        <v>2850000</v>
      </c>
      <c r="R48" s="267">
        <f t="shared" si="4"/>
        <v>1</v>
      </c>
      <c r="S48" s="266">
        <f t="shared" si="5"/>
        <v>0</v>
      </c>
      <c r="T48" s="266">
        <f t="shared" si="7"/>
        <v>0</v>
      </c>
      <c r="U48" s="266">
        <f t="shared" si="6"/>
        <v>2850000</v>
      </c>
      <c r="V48" s="266">
        <v>0</v>
      </c>
      <c r="W48" s="115"/>
    </row>
    <row r="49" spans="1:23" ht="36.75" hidden="1" customHeight="1">
      <c r="A49" s="260"/>
      <c r="B49" s="260"/>
      <c r="C49" s="260"/>
      <c r="D49" s="260"/>
      <c r="E49" s="260"/>
      <c r="F49" s="260"/>
      <c r="G49" s="260"/>
      <c r="H49" s="268" t="s">
        <v>991</v>
      </c>
      <c r="I49" s="238"/>
      <c r="J49" s="262">
        <v>6</v>
      </c>
      <c r="K49" s="263" t="s">
        <v>967</v>
      </c>
      <c r="L49" s="264">
        <v>2545000</v>
      </c>
      <c r="M49" s="265">
        <f t="shared" si="3"/>
        <v>15270000</v>
      </c>
      <c r="N49" s="262">
        <v>6</v>
      </c>
      <c r="O49" s="261" t="s">
        <v>967</v>
      </c>
      <c r="P49" s="264">
        <v>2545000</v>
      </c>
      <c r="Q49" s="266">
        <f>+N49*P49</f>
        <v>15270000</v>
      </c>
      <c r="R49" s="267">
        <f t="shared" si="4"/>
        <v>1</v>
      </c>
      <c r="S49" s="266">
        <f t="shared" si="5"/>
        <v>0</v>
      </c>
      <c r="T49" s="266">
        <f t="shared" si="7"/>
        <v>0</v>
      </c>
      <c r="U49" s="266">
        <f t="shared" si="6"/>
        <v>15270000</v>
      </c>
      <c r="V49" s="266">
        <v>0</v>
      </c>
      <c r="W49" s="115"/>
    </row>
    <row r="50" spans="1:23" ht="36.75" hidden="1" customHeight="1">
      <c r="A50" s="260"/>
      <c r="B50" s="260"/>
      <c r="C50" s="260"/>
      <c r="D50" s="260"/>
      <c r="E50" s="260"/>
      <c r="F50" s="260"/>
      <c r="G50" s="260"/>
      <c r="H50" s="268" t="s">
        <v>992</v>
      </c>
      <c r="I50" s="238"/>
      <c r="J50" s="262">
        <v>6</v>
      </c>
      <c r="K50" s="263" t="s">
        <v>967</v>
      </c>
      <c r="L50" s="264">
        <v>2385000</v>
      </c>
      <c r="M50" s="265">
        <f t="shared" si="3"/>
        <v>14310000</v>
      </c>
      <c r="N50" s="262">
        <v>6</v>
      </c>
      <c r="O50" s="261" t="s">
        <v>967</v>
      </c>
      <c r="P50" s="264">
        <v>2385000</v>
      </c>
      <c r="Q50" s="266">
        <f>+N50*P50</f>
        <v>14310000</v>
      </c>
      <c r="R50" s="267">
        <f t="shared" si="4"/>
        <v>1</v>
      </c>
      <c r="S50" s="266">
        <f t="shared" si="5"/>
        <v>0</v>
      </c>
      <c r="T50" s="266">
        <f t="shared" si="7"/>
        <v>0</v>
      </c>
      <c r="U50" s="266">
        <f t="shared" si="6"/>
        <v>14310000</v>
      </c>
      <c r="V50" s="266">
        <v>0</v>
      </c>
      <c r="W50" s="115"/>
    </row>
    <row r="51" spans="1:23" ht="40.5" hidden="1" customHeight="1">
      <c r="A51" s="260"/>
      <c r="B51" s="260"/>
      <c r="C51" s="260"/>
      <c r="D51" s="260"/>
      <c r="E51" s="260"/>
      <c r="F51" s="260"/>
      <c r="G51" s="260"/>
      <c r="H51" s="268" t="s">
        <v>993</v>
      </c>
      <c r="I51" s="238"/>
      <c r="J51" s="262">
        <v>1</v>
      </c>
      <c r="K51" s="263" t="s">
        <v>966</v>
      </c>
      <c r="L51" s="264">
        <v>2270000</v>
      </c>
      <c r="M51" s="265">
        <f>+J51*L51</f>
        <v>2270000</v>
      </c>
      <c r="N51" s="262">
        <v>1</v>
      </c>
      <c r="O51" s="261" t="s">
        <v>967</v>
      </c>
      <c r="P51" s="264">
        <v>2270000</v>
      </c>
      <c r="Q51" s="266">
        <f>+N51*P51</f>
        <v>2270000</v>
      </c>
      <c r="R51" s="267">
        <f t="shared" si="4"/>
        <v>1</v>
      </c>
      <c r="S51" s="266">
        <f t="shared" si="5"/>
        <v>0</v>
      </c>
      <c r="T51" s="266">
        <f t="shared" si="7"/>
        <v>0</v>
      </c>
      <c r="U51" s="266">
        <f t="shared" si="6"/>
        <v>2270000</v>
      </c>
      <c r="V51" s="266">
        <v>0</v>
      </c>
      <c r="W51" s="115"/>
    </row>
    <row r="52" spans="1:23" ht="28.5" hidden="1" customHeight="1">
      <c r="A52" s="260"/>
      <c r="B52" s="260"/>
      <c r="C52" s="260"/>
      <c r="D52" s="260"/>
      <c r="E52" s="260"/>
      <c r="F52" s="260"/>
      <c r="G52" s="260"/>
      <c r="H52" s="268" t="s">
        <v>994</v>
      </c>
      <c r="I52" s="238"/>
      <c r="J52" s="262">
        <v>2</v>
      </c>
      <c r="K52" s="263" t="s">
        <v>966</v>
      </c>
      <c r="L52" s="264">
        <v>2188100</v>
      </c>
      <c r="M52" s="265">
        <f>+J52*L52</f>
        <v>4376200</v>
      </c>
      <c r="N52" s="262">
        <v>2</v>
      </c>
      <c r="O52" s="261" t="s">
        <v>967</v>
      </c>
      <c r="P52" s="264">
        <v>2188100</v>
      </c>
      <c r="Q52" s="266">
        <f>+N52*P52</f>
        <v>4376200</v>
      </c>
      <c r="R52" s="267">
        <f t="shared" si="4"/>
        <v>1</v>
      </c>
      <c r="S52" s="266">
        <f t="shared" si="5"/>
        <v>0</v>
      </c>
      <c r="T52" s="266">
        <f t="shared" si="7"/>
        <v>0</v>
      </c>
      <c r="U52" s="266">
        <f t="shared" si="6"/>
        <v>4376200</v>
      </c>
      <c r="V52" s="266">
        <v>0</v>
      </c>
      <c r="W52" s="115"/>
    </row>
    <row r="53" spans="1:23" ht="28.5" customHeight="1">
      <c r="A53" s="229" t="s">
        <v>362</v>
      </c>
      <c r="B53" s="229" t="s">
        <v>960</v>
      </c>
      <c r="C53" s="270" t="s">
        <v>995</v>
      </c>
      <c r="D53" s="229"/>
      <c r="E53" s="229"/>
      <c r="F53" s="229"/>
      <c r="G53" s="229" t="s">
        <v>959</v>
      </c>
      <c r="H53" s="238" t="s">
        <v>356</v>
      </c>
      <c r="I53" s="238" t="s">
        <v>996</v>
      </c>
      <c r="J53" s="239"/>
      <c r="K53" s="240">
        <v>12</v>
      </c>
      <c r="L53" s="241" t="s">
        <v>1073</v>
      </c>
      <c r="M53" s="271">
        <f>+M54</f>
        <v>33591600</v>
      </c>
      <c r="N53" s="266"/>
      <c r="O53" s="240">
        <v>12</v>
      </c>
      <c r="P53" s="241" t="s">
        <v>1073</v>
      </c>
      <c r="Q53" s="271">
        <f>+Q54</f>
        <v>31399913</v>
      </c>
      <c r="R53" s="236">
        <f>Q53/M53*100%</f>
        <v>0.93475490896533653</v>
      </c>
      <c r="S53" s="271">
        <f t="shared" ref="S53:V54" si="9">+S54</f>
        <v>0</v>
      </c>
      <c r="T53" s="271">
        <f t="shared" si="9"/>
        <v>0</v>
      </c>
      <c r="U53" s="271">
        <f t="shared" si="9"/>
        <v>31399913</v>
      </c>
      <c r="V53" s="271">
        <f t="shared" si="9"/>
        <v>0</v>
      </c>
      <c r="W53" s="115"/>
    </row>
    <row r="54" spans="1:23" ht="28.5" hidden="1" customHeight="1">
      <c r="A54" s="260" t="s">
        <v>362</v>
      </c>
      <c r="B54" s="260" t="s">
        <v>960</v>
      </c>
      <c r="C54" s="269" t="s">
        <v>995</v>
      </c>
      <c r="D54" s="244" t="s">
        <v>363</v>
      </c>
      <c r="E54" s="244" t="s">
        <v>362</v>
      </c>
      <c r="F54" s="244" t="s">
        <v>959</v>
      </c>
      <c r="G54" s="244" t="s">
        <v>959</v>
      </c>
      <c r="H54" s="245" t="s">
        <v>132</v>
      </c>
      <c r="I54" s="238"/>
      <c r="J54" s="246"/>
      <c r="K54" s="247"/>
      <c r="L54" s="248"/>
      <c r="M54" s="272">
        <f>+M55</f>
        <v>33591600</v>
      </c>
      <c r="N54" s="266"/>
      <c r="O54" s="261"/>
      <c r="P54" s="266"/>
      <c r="Q54" s="272">
        <f>+Q55</f>
        <v>31399913</v>
      </c>
      <c r="R54" s="267"/>
      <c r="S54" s="272">
        <f t="shared" si="9"/>
        <v>0</v>
      </c>
      <c r="T54" s="272">
        <f t="shared" si="9"/>
        <v>0</v>
      </c>
      <c r="U54" s="272">
        <f t="shared" si="9"/>
        <v>31399913</v>
      </c>
      <c r="V54" s="272">
        <f t="shared" si="9"/>
        <v>0</v>
      </c>
      <c r="W54" s="115"/>
    </row>
    <row r="55" spans="1:23" s="114" customFormat="1" ht="28.5" hidden="1" customHeight="1">
      <c r="A55" s="260" t="s">
        <v>362</v>
      </c>
      <c r="B55" s="260" t="s">
        <v>960</v>
      </c>
      <c r="C55" s="269" t="s">
        <v>995</v>
      </c>
      <c r="D55" s="252" t="s">
        <v>363</v>
      </c>
      <c r="E55" s="252" t="s">
        <v>362</v>
      </c>
      <c r="F55" s="252" t="s">
        <v>997</v>
      </c>
      <c r="G55" s="252" t="s">
        <v>959</v>
      </c>
      <c r="H55" s="253" t="s">
        <v>998</v>
      </c>
      <c r="I55" s="238"/>
      <c r="J55" s="254"/>
      <c r="K55" s="255"/>
      <c r="L55" s="256"/>
      <c r="M55" s="273">
        <f>+SUM(M56:M79)</f>
        <v>33591600</v>
      </c>
      <c r="N55" s="266"/>
      <c r="O55" s="261"/>
      <c r="P55" s="266"/>
      <c r="Q55" s="273">
        <f>+SUM(Q56:Q79)</f>
        <v>31399913</v>
      </c>
      <c r="R55" s="267"/>
      <c r="S55" s="273">
        <f>+SUM(S56:S79)</f>
        <v>0</v>
      </c>
      <c r="T55" s="273">
        <f>+SUM(T56:T79)</f>
        <v>0</v>
      </c>
      <c r="U55" s="273">
        <f>+SUM(U56:U79)</f>
        <v>31399913</v>
      </c>
      <c r="V55" s="273">
        <f>+SUM(V56:V79)</f>
        <v>0</v>
      </c>
      <c r="W55" s="116"/>
    </row>
    <row r="56" spans="1:23" ht="28.5" hidden="1" customHeight="1">
      <c r="A56" s="260" t="s">
        <v>362</v>
      </c>
      <c r="B56" s="260" t="s">
        <v>960</v>
      </c>
      <c r="C56" s="269" t="s">
        <v>995</v>
      </c>
      <c r="D56" s="260" t="s">
        <v>363</v>
      </c>
      <c r="E56" s="260" t="s">
        <v>362</v>
      </c>
      <c r="F56" s="260" t="s">
        <v>997</v>
      </c>
      <c r="G56" s="260" t="s">
        <v>963</v>
      </c>
      <c r="H56" s="261" t="s">
        <v>999</v>
      </c>
      <c r="I56" s="238"/>
      <c r="J56" s="262"/>
      <c r="K56" s="263"/>
      <c r="L56" s="264"/>
      <c r="M56" s="265"/>
      <c r="N56" s="266"/>
      <c r="O56" s="261"/>
      <c r="P56" s="264"/>
      <c r="Q56" s="266"/>
      <c r="R56" s="267"/>
      <c r="S56" s="266"/>
      <c r="T56" s="266"/>
      <c r="U56" s="266"/>
      <c r="V56" s="266"/>
      <c r="W56" s="115"/>
    </row>
    <row r="57" spans="1:23" ht="28.5" hidden="1" customHeight="1">
      <c r="A57" s="260"/>
      <c r="B57" s="260"/>
      <c r="C57" s="269"/>
      <c r="D57" s="260"/>
      <c r="E57" s="260"/>
      <c r="F57" s="260"/>
      <c r="G57" s="260"/>
      <c r="H57" s="268" t="s">
        <v>1000</v>
      </c>
      <c r="I57" s="238"/>
      <c r="J57" s="262">
        <v>12</v>
      </c>
      <c r="K57" s="263" t="s">
        <v>966</v>
      </c>
      <c r="L57" s="264">
        <v>93300</v>
      </c>
      <c r="M57" s="265">
        <f>+J57*L57</f>
        <v>1119600</v>
      </c>
      <c r="N57" s="266">
        <v>12</v>
      </c>
      <c r="O57" s="261" t="s">
        <v>966</v>
      </c>
      <c r="P57" s="264">
        <v>93300</v>
      </c>
      <c r="Q57" s="266">
        <f>P57*N57+1225</f>
        <v>1120825</v>
      </c>
      <c r="R57" s="267">
        <f>IF(J57="","",Q57/M57)</f>
        <v>1.0010941407645588</v>
      </c>
      <c r="S57" s="266">
        <f>+IF(W57="DDS",Q57,0)</f>
        <v>0</v>
      </c>
      <c r="T57" s="266">
        <f>+IF(W57="ADD",Q57,0)</f>
        <v>0</v>
      </c>
      <c r="U57" s="266">
        <f>+IF(W57="DDS",0,IF(W57="ADD",0,Q57))</f>
        <v>1120825</v>
      </c>
      <c r="V57" s="266">
        <v>0</v>
      </c>
      <c r="W57" s="115"/>
    </row>
    <row r="58" spans="1:23" ht="28.5" hidden="1" customHeight="1">
      <c r="A58" s="260"/>
      <c r="B58" s="260"/>
      <c r="C58" s="269"/>
      <c r="D58" s="260"/>
      <c r="E58" s="260"/>
      <c r="F58" s="260"/>
      <c r="G58" s="260"/>
      <c r="H58" s="268" t="s">
        <v>1001</v>
      </c>
      <c r="I58" s="238"/>
      <c r="J58" s="262">
        <v>24</v>
      </c>
      <c r="K58" s="263" t="s">
        <v>966</v>
      </c>
      <c r="L58" s="264">
        <v>93300</v>
      </c>
      <c r="M58" s="265">
        <f>+J58*L58</f>
        <v>2239200</v>
      </c>
      <c r="N58" s="266">
        <v>5</v>
      </c>
      <c r="O58" s="261" t="s">
        <v>966</v>
      </c>
      <c r="P58" s="264">
        <v>93300</v>
      </c>
      <c r="Q58" s="266">
        <f>+N58*P58</f>
        <v>466500</v>
      </c>
      <c r="R58" s="267">
        <f>IF(J58="","",Q58/M58)</f>
        <v>0.20833333333333334</v>
      </c>
      <c r="S58" s="266">
        <f>+IF(W58="DDS",Q58,0)</f>
        <v>0</v>
      </c>
      <c r="T58" s="266">
        <f>+IF(W58="ADD",Q58,0)</f>
        <v>0</v>
      </c>
      <c r="U58" s="266">
        <f>+IF(W58="DDS",0,IF(W58="ADD",0,Q58))</f>
        <v>466500</v>
      </c>
      <c r="V58" s="266">
        <v>0</v>
      </c>
      <c r="W58" s="115"/>
    </row>
    <row r="59" spans="1:23" ht="28.5" hidden="1" customHeight="1">
      <c r="A59" s="260" t="s">
        <v>362</v>
      </c>
      <c r="B59" s="260" t="s">
        <v>960</v>
      </c>
      <c r="C59" s="269" t="s">
        <v>995</v>
      </c>
      <c r="D59" s="260" t="s">
        <v>363</v>
      </c>
      <c r="E59" s="260" t="s">
        <v>362</v>
      </c>
      <c r="F59" s="260" t="s">
        <v>997</v>
      </c>
      <c r="G59" s="260" t="s">
        <v>1002</v>
      </c>
      <c r="H59" s="261" t="s">
        <v>1003</v>
      </c>
      <c r="I59" s="238"/>
      <c r="J59" s="262"/>
      <c r="K59" s="263"/>
      <c r="L59" s="264"/>
      <c r="M59" s="265"/>
      <c r="N59" s="266"/>
      <c r="O59" s="261"/>
      <c r="P59" s="266"/>
      <c r="Q59" s="266"/>
      <c r="R59" s="267" t="str">
        <f>IF(J59="","",Q59/M59)</f>
        <v/>
      </c>
      <c r="S59" s="266"/>
      <c r="T59" s="266"/>
      <c r="U59" s="266"/>
      <c r="V59" s="266"/>
      <c r="W59" s="115"/>
    </row>
    <row r="60" spans="1:23" s="114" customFormat="1" ht="28.5" hidden="1" customHeight="1">
      <c r="A60" s="260"/>
      <c r="B60" s="260"/>
      <c r="C60" s="260"/>
      <c r="D60" s="260"/>
      <c r="E60" s="260"/>
      <c r="F60" s="260"/>
      <c r="G60" s="260"/>
      <c r="H60" s="268" t="s">
        <v>1004</v>
      </c>
      <c r="I60" s="238"/>
      <c r="J60" s="262">
        <v>12</v>
      </c>
      <c r="K60" s="263" t="s">
        <v>967</v>
      </c>
      <c r="L60" s="274">
        <v>108100</v>
      </c>
      <c r="M60" s="265">
        <f>+J60*L60</f>
        <v>1297200</v>
      </c>
      <c r="N60" s="266">
        <v>12</v>
      </c>
      <c r="O60" s="261" t="s">
        <v>990</v>
      </c>
      <c r="P60" s="274">
        <v>108100</v>
      </c>
      <c r="Q60" s="275">
        <f>+N60*P60</f>
        <v>1297200</v>
      </c>
      <c r="R60" s="267">
        <f t="shared" ref="R60:R79" si="10">IF(J60="","",Q60/M60)</f>
        <v>1</v>
      </c>
      <c r="S60" s="266">
        <f t="shared" ref="S60:S79" si="11">+IF(W60="DDS",Q60,0)</f>
        <v>0</v>
      </c>
      <c r="T60" s="266">
        <f t="shared" ref="T60:T79" si="12">+IF(W60="ADD",Q60,0)</f>
        <v>0</v>
      </c>
      <c r="U60" s="266">
        <f t="shared" ref="U60:U79" si="13">+IF(W60="DDS",0,IF(W60="ADD",0,Q60))</f>
        <v>1297200</v>
      </c>
      <c r="V60" s="266">
        <v>0</v>
      </c>
      <c r="W60" s="116"/>
    </row>
    <row r="61" spans="1:23" s="114" customFormat="1" ht="28.5" hidden="1" customHeight="1">
      <c r="A61" s="252"/>
      <c r="B61" s="252"/>
      <c r="C61" s="252"/>
      <c r="D61" s="260"/>
      <c r="E61" s="260"/>
      <c r="F61" s="260"/>
      <c r="G61" s="260"/>
      <c r="H61" s="268" t="s">
        <v>1005</v>
      </c>
      <c r="I61" s="238"/>
      <c r="J61" s="262">
        <v>12</v>
      </c>
      <c r="K61" s="263" t="s">
        <v>967</v>
      </c>
      <c r="L61" s="274">
        <v>58400</v>
      </c>
      <c r="M61" s="265">
        <f t="shared" ref="M61:M79" si="14">+J61*L61</f>
        <v>700800</v>
      </c>
      <c r="N61" s="266">
        <v>12</v>
      </c>
      <c r="O61" s="261" t="s">
        <v>990</v>
      </c>
      <c r="P61" s="274">
        <v>56800</v>
      </c>
      <c r="Q61" s="275">
        <f t="shared" ref="Q61:Q77" si="15">+N61*P61</f>
        <v>681600</v>
      </c>
      <c r="R61" s="267">
        <f t="shared" si="10"/>
        <v>0.9726027397260274</v>
      </c>
      <c r="S61" s="266">
        <f t="shared" si="11"/>
        <v>0</v>
      </c>
      <c r="T61" s="266">
        <f t="shared" si="12"/>
        <v>0</v>
      </c>
      <c r="U61" s="266">
        <f t="shared" si="13"/>
        <v>681600</v>
      </c>
      <c r="V61" s="266">
        <v>0</v>
      </c>
      <c r="W61" s="116"/>
    </row>
    <row r="62" spans="1:23" ht="28.5" hidden="1" customHeight="1">
      <c r="A62" s="260"/>
      <c r="B62" s="260"/>
      <c r="C62" s="260"/>
      <c r="D62" s="260"/>
      <c r="E62" s="260"/>
      <c r="F62" s="260"/>
      <c r="G62" s="260"/>
      <c r="H62" s="268" t="s">
        <v>1006</v>
      </c>
      <c r="I62" s="238"/>
      <c r="J62" s="262">
        <v>12</v>
      </c>
      <c r="K62" s="263" t="s">
        <v>967</v>
      </c>
      <c r="L62" s="274">
        <v>7100</v>
      </c>
      <c r="M62" s="265">
        <f t="shared" si="14"/>
        <v>85200</v>
      </c>
      <c r="N62" s="266">
        <v>12</v>
      </c>
      <c r="O62" s="261" t="s">
        <v>990</v>
      </c>
      <c r="P62" s="274">
        <v>7100</v>
      </c>
      <c r="Q62" s="275">
        <f t="shared" si="15"/>
        <v>85200</v>
      </c>
      <c r="R62" s="267">
        <f t="shared" si="10"/>
        <v>1</v>
      </c>
      <c r="S62" s="266">
        <f t="shared" si="11"/>
        <v>0</v>
      </c>
      <c r="T62" s="266">
        <f t="shared" si="12"/>
        <v>0</v>
      </c>
      <c r="U62" s="266">
        <f t="shared" si="13"/>
        <v>85200</v>
      </c>
      <c r="V62" s="266">
        <v>0</v>
      </c>
      <c r="W62" s="115"/>
    </row>
    <row r="63" spans="1:23" ht="28.5" hidden="1" customHeight="1">
      <c r="A63" s="252"/>
      <c r="B63" s="252"/>
      <c r="C63" s="252"/>
      <c r="D63" s="260"/>
      <c r="E63" s="260"/>
      <c r="F63" s="260"/>
      <c r="G63" s="260"/>
      <c r="H63" s="268" t="s">
        <v>1007</v>
      </c>
      <c r="I63" s="238"/>
      <c r="J63" s="262">
        <v>12</v>
      </c>
      <c r="K63" s="263" t="s">
        <v>967</v>
      </c>
      <c r="L63" s="274">
        <v>8800</v>
      </c>
      <c r="M63" s="265">
        <f t="shared" si="14"/>
        <v>105600</v>
      </c>
      <c r="N63" s="266">
        <v>12</v>
      </c>
      <c r="O63" s="261" t="s">
        <v>990</v>
      </c>
      <c r="P63" s="274">
        <v>8800</v>
      </c>
      <c r="Q63" s="275">
        <f t="shared" si="15"/>
        <v>105600</v>
      </c>
      <c r="R63" s="267">
        <f t="shared" si="10"/>
        <v>1</v>
      </c>
      <c r="S63" s="266">
        <f t="shared" si="11"/>
        <v>0</v>
      </c>
      <c r="T63" s="266">
        <f t="shared" si="12"/>
        <v>0</v>
      </c>
      <c r="U63" s="266">
        <f t="shared" si="13"/>
        <v>105600</v>
      </c>
      <c r="V63" s="266">
        <v>0</v>
      </c>
      <c r="W63" s="115"/>
    </row>
    <row r="64" spans="1:23" ht="28.5" hidden="1" customHeight="1">
      <c r="A64" s="260"/>
      <c r="B64" s="260"/>
      <c r="C64" s="260"/>
      <c r="D64" s="260"/>
      <c r="E64" s="260"/>
      <c r="F64" s="260"/>
      <c r="G64" s="260"/>
      <c r="H64" s="268" t="s">
        <v>1008</v>
      </c>
      <c r="I64" s="238"/>
      <c r="J64" s="262">
        <v>72</v>
      </c>
      <c r="K64" s="263" t="s">
        <v>967</v>
      </c>
      <c r="L64" s="274">
        <v>96800</v>
      </c>
      <c r="M64" s="265">
        <f t="shared" si="14"/>
        <v>6969600</v>
      </c>
      <c r="N64" s="266">
        <f>6*12</f>
        <v>72</v>
      </c>
      <c r="O64" s="261" t="s">
        <v>990</v>
      </c>
      <c r="P64" s="274">
        <v>91800</v>
      </c>
      <c r="Q64" s="275">
        <f>+N64*P64</f>
        <v>6609600</v>
      </c>
      <c r="R64" s="267">
        <f t="shared" si="10"/>
        <v>0.94834710743801653</v>
      </c>
      <c r="S64" s="266">
        <f t="shared" si="11"/>
        <v>0</v>
      </c>
      <c r="T64" s="266">
        <f t="shared" si="12"/>
        <v>0</v>
      </c>
      <c r="U64" s="266">
        <f t="shared" si="13"/>
        <v>6609600</v>
      </c>
      <c r="V64" s="266">
        <v>0</v>
      </c>
      <c r="W64" s="115"/>
    </row>
    <row r="65" spans="1:23" ht="28.5" hidden="1" customHeight="1">
      <c r="A65" s="260"/>
      <c r="B65" s="260"/>
      <c r="C65" s="260"/>
      <c r="D65" s="260"/>
      <c r="E65" s="260"/>
      <c r="F65" s="260"/>
      <c r="G65" s="260"/>
      <c r="H65" s="268" t="s">
        <v>1009</v>
      </c>
      <c r="I65" s="238"/>
      <c r="J65" s="262">
        <v>72</v>
      </c>
      <c r="K65" s="263" t="s">
        <v>967</v>
      </c>
      <c r="L65" s="274">
        <v>52300</v>
      </c>
      <c r="M65" s="265">
        <f t="shared" si="14"/>
        <v>3765600</v>
      </c>
      <c r="N65" s="266">
        <f t="shared" ref="N65:N71" si="16">6*12</f>
        <v>72</v>
      </c>
      <c r="O65" s="261" t="s">
        <v>990</v>
      </c>
      <c r="P65" s="274">
        <v>52300</v>
      </c>
      <c r="Q65" s="275">
        <f>+N65*P65</f>
        <v>3765600</v>
      </c>
      <c r="R65" s="267">
        <f t="shared" si="10"/>
        <v>1</v>
      </c>
      <c r="S65" s="266">
        <f t="shared" si="11"/>
        <v>0</v>
      </c>
      <c r="T65" s="266">
        <f t="shared" si="12"/>
        <v>0</v>
      </c>
      <c r="U65" s="266">
        <f t="shared" si="13"/>
        <v>3765600</v>
      </c>
      <c r="V65" s="266">
        <v>0</v>
      </c>
      <c r="W65" s="115"/>
    </row>
    <row r="66" spans="1:23" s="114" customFormat="1" ht="28.5" hidden="1" customHeight="1">
      <c r="A66" s="260"/>
      <c r="B66" s="260"/>
      <c r="C66" s="260"/>
      <c r="D66" s="260"/>
      <c r="E66" s="260"/>
      <c r="F66" s="260"/>
      <c r="G66" s="260"/>
      <c r="H66" s="268" t="s">
        <v>1010</v>
      </c>
      <c r="I66" s="238"/>
      <c r="J66" s="262">
        <v>72</v>
      </c>
      <c r="K66" s="263" t="s">
        <v>967</v>
      </c>
      <c r="L66" s="274">
        <v>6300</v>
      </c>
      <c r="M66" s="265">
        <f t="shared" si="14"/>
        <v>453600</v>
      </c>
      <c r="N66" s="266">
        <f t="shared" si="16"/>
        <v>72</v>
      </c>
      <c r="O66" s="261" t="s">
        <v>990</v>
      </c>
      <c r="P66" s="274">
        <v>6300</v>
      </c>
      <c r="Q66" s="275">
        <f t="shared" si="15"/>
        <v>453600</v>
      </c>
      <c r="R66" s="267">
        <f t="shared" si="10"/>
        <v>1</v>
      </c>
      <c r="S66" s="266">
        <f t="shared" si="11"/>
        <v>0</v>
      </c>
      <c r="T66" s="266">
        <f t="shared" si="12"/>
        <v>0</v>
      </c>
      <c r="U66" s="266">
        <f t="shared" si="13"/>
        <v>453600</v>
      </c>
      <c r="V66" s="266">
        <v>0</v>
      </c>
      <c r="W66" s="116"/>
    </row>
    <row r="67" spans="1:23" ht="28.5" hidden="1" customHeight="1">
      <c r="A67" s="260"/>
      <c r="B67" s="260"/>
      <c r="C67" s="260"/>
      <c r="D67" s="260"/>
      <c r="E67" s="260"/>
      <c r="F67" s="260"/>
      <c r="G67" s="260"/>
      <c r="H67" s="268" t="s">
        <v>1011</v>
      </c>
      <c r="I67" s="238"/>
      <c r="J67" s="262">
        <v>72</v>
      </c>
      <c r="K67" s="263" t="s">
        <v>967</v>
      </c>
      <c r="L67" s="274">
        <v>7900</v>
      </c>
      <c r="M67" s="265">
        <f t="shared" si="14"/>
        <v>568800</v>
      </c>
      <c r="N67" s="266">
        <f t="shared" si="16"/>
        <v>72</v>
      </c>
      <c r="O67" s="261" t="s">
        <v>990</v>
      </c>
      <c r="P67" s="274">
        <v>7900</v>
      </c>
      <c r="Q67" s="275">
        <f t="shared" si="15"/>
        <v>568800</v>
      </c>
      <c r="R67" s="267">
        <f t="shared" si="10"/>
        <v>1</v>
      </c>
      <c r="S67" s="266">
        <f t="shared" si="11"/>
        <v>0</v>
      </c>
      <c r="T67" s="266">
        <f t="shared" si="12"/>
        <v>0</v>
      </c>
      <c r="U67" s="266">
        <f t="shared" si="13"/>
        <v>568800</v>
      </c>
      <c r="V67" s="266">
        <v>0</v>
      </c>
      <c r="W67" s="115"/>
    </row>
    <row r="68" spans="1:23" ht="28.5" hidden="1" customHeight="1">
      <c r="A68" s="260"/>
      <c r="B68" s="260"/>
      <c r="C68" s="260"/>
      <c r="D68" s="260"/>
      <c r="E68" s="260"/>
      <c r="F68" s="260"/>
      <c r="G68" s="260"/>
      <c r="H68" s="268" t="s">
        <v>1012</v>
      </c>
      <c r="I68" s="238"/>
      <c r="J68" s="262">
        <v>72</v>
      </c>
      <c r="K68" s="263" t="s">
        <v>967</v>
      </c>
      <c r="L68" s="274">
        <v>90900</v>
      </c>
      <c r="M68" s="265">
        <f t="shared" si="14"/>
        <v>6544800</v>
      </c>
      <c r="N68" s="266">
        <f t="shared" si="16"/>
        <v>72</v>
      </c>
      <c r="O68" s="261" t="s">
        <v>990</v>
      </c>
      <c r="P68" s="274">
        <v>90900</v>
      </c>
      <c r="Q68" s="275">
        <f t="shared" si="15"/>
        <v>6544800</v>
      </c>
      <c r="R68" s="267">
        <f t="shared" si="10"/>
        <v>1</v>
      </c>
      <c r="S68" s="266">
        <f t="shared" si="11"/>
        <v>0</v>
      </c>
      <c r="T68" s="266">
        <f t="shared" si="12"/>
        <v>0</v>
      </c>
      <c r="U68" s="266">
        <f t="shared" si="13"/>
        <v>6544800</v>
      </c>
      <c r="V68" s="266">
        <v>0</v>
      </c>
      <c r="W68" s="115"/>
    </row>
    <row r="69" spans="1:23" ht="26.25" hidden="1" customHeight="1">
      <c r="A69" s="252"/>
      <c r="B69" s="252"/>
      <c r="C69" s="252"/>
      <c r="D69" s="260"/>
      <c r="E69" s="260"/>
      <c r="F69" s="260"/>
      <c r="G69" s="260"/>
      <c r="H69" s="268" t="s">
        <v>1013</v>
      </c>
      <c r="I69" s="238"/>
      <c r="J69" s="262">
        <v>72</v>
      </c>
      <c r="K69" s="263" t="s">
        <v>967</v>
      </c>
      <c r="L69" s="274">
        <v>49100</v>
      </c>
      <c r="M69" s="265">
        <f t="shared" si="14"/>
        <v>3535200</v>
      </c>
      <c r="N69" s="266">
        <f t="shared" si="16"/>
        <v>72</v>
      </c>
      <c r="O69" s="261" t="s">
        <v>990</v>
      </c>
      <c r="P69" s="274">
        <v>49100</v>
      </c>
      <c r="Q69" s="275">
        <f t="shared" si="15"/>
        <v>3535200</v>
      </c>
      <c r="R69" s="267">
        <f t="shared" si="10"/>
        <v>1</v>
      </c>
      <c r="S69" s="266">
        <f t="shared" si="11"/>
        <v>0</v>
      </c>
      <c r="T69" s="266">
        <f t="shared" si="12"/>
        <v>0</v>
      </c>
      <c r="U69" s="266">
        <f t="shared" si="13"/>
        <v>3535200</v>
      </c>
      <c r="V69" s="266">
        <v>0</v>
      </c>
      <c r="W69" s="115"/>
    </row>
    <row r="70" spans="1:23" ht="26.25" hidden="1" customHeight="1">
      <c r="A70" s="260"/>
      <c r="B70" s="260"/>
      <c r="C70" s="260"/>
      <c r="D70" s="260"/>
      <c r="E70" s="260"/>
      <c r="F70" s="260"/>
      <c r="G70" s="260"/>
      <c r="H70" s="268" t="s">
        <v>1014</v>
      </c>
      <c r="I70" s="238"/>
      <c r="J70" s="262">
        <v>72</v>
      </c>
      <c r="K70" s="263" t="s">
        <v>967</v>
      </c>
      <c r="L70" s="274">
        <v>5900</v>
      </c>
      <c r="M70" s="265">
        <f t="shared" si="14"/>
        <v>424800</v>
      </c>
      <c r="N70" s="266">
        <f t="shared" si="16"/>
        <v>72</v>
      </c>
      <c r="O70" s="261" t="s">
        <v>990</v>
      </c>
      <c r="P70" s="274">
        <v>5900</v>
      </c>
      <c r="Q70" s="275">
        <f t="shared" si="15"/>
        <v>424800</v>
      </c>
      <c r="R70" s="267">
        <f t="shared" si="10"/>
        <v>1</v>
      </c>
      <c r="S70" s="266">
        <f t="shared" si="11"/>
        <v>0</v>
      </c>
      <c r="T70" s="266">
        <f t="shared" si="12"/>
        <v>0</v>
      </c>
      <c r="U70" s="266">
        <f t="shared" si="13"/>
        <v>424800</v>
      </c>
      <c r="V70" s="266">
        <v>0</v>
      </c>
      <c r="W70" s="115"/>
    </row>
    <row r="71" spans="1:23" ht="26.25" hidden="1" customHeight="1">
      <c r="A71" s="260"/>
      <c r="B71" s="260"/>
      <c r="C71" s="260"/>
      <c r="D71" s="260"/>
      <c r="E71" s="260"/>
      <c r="F71" s="260"/>
      <c r="G71" s="260"/>
      <c r="H71" s="268" t="s">
        <v>1015</v>
      </c>
      <c r="I71" s="238"/>
      <c r="J71" s="262">
        <v>72</v>
      </c>
      <c r="K71" s="263" t="s">
        <v>967</v>
      </c>
      <c r="L71" s="274">
        <v>7400</v>
      </c>
      <c r="M71" s="265">
        <f t="shared" si="14"/>
        <v>532800</v>
      </c>
      <c r="N71" s="266">
        <f t="shared" si="16"/>
        <v>72</v>
      </c>
      <c r="O71" s="261" t="s">
        <v>990</v>
      </c>
      <c r="P71" s="274">
        <v>7400</v>
      </c>
      <c r="Q71" s="275">
        <f t="shared" si="15"/>
        <v>532800</v>
      </c>
      <c r="R71" s="267">
        <f t="shared" si="10"/>
        <v>1</v>
      </c>
      <c r="S71" s="266">
        <f t="shared" si="11"/>
        <v>0</v>
      </c>
      <c r="T71" s="266">
        <f t="shared" si="12"/>
        <v>0</v>
      </c>
      <c r="U71" s="266">
        <f t="shared" si="13"/>
        <v>532800</v>
      </c>
      <c r="V71" s="266">
        <v>0</v>
      </c>
      <c r="W71" s="115"/>
    </row>
    <row r="72" spans="1:23" ht="25.5" hidden="1" customHeight="1">
      <c r="A72" s="260"/>
      <c r="B72" s="260"/>
      <c r="C72" s="260"/>
      <c r="D72" s="260"/>
      <c r="E72" s="260"/>
      <c r="F72" s="260"/>
      <c r="G72" s="260"/>
      <c r="H72" s="268" t="s">
        <v>1016</v>
      </c>
      <c r="I72" s="238"/>
      <c r="J72" s="262">
        <v>12</v>
      </c>
      <c r="K72" s="263" t="s">
        <v>967</v>
      </c>
      <c r="L72" s="274">
        <v>86600</v>
      </c>
      <c r="M72" s="265">
        <f t="shared" si="14"/>
        <v>1039200</v>
      </c>
      <c r="N72" s="266">
        <v>12</v>
      </c>
      <c r="O72" s="261" t="s">
        <v>990</v>
      </c>
      <c r="P72" s="274">
        <v>86600</v>
      </c>
      <c r="Q72" s="275">
        <f t="shared" si="15"/>
        <v>1039200</v>
      </c>
      <c r="R72" s="267">
        <f t="shared" si="10"/>
        <v>1</v>
      </c>
      <c r="S72" s="266">
        <f t="shared" si="11"/>
        <v>0</v>
      </c>
      <c r="T72" s="266">
        <f t="shared" si="12"/>
        <v>0</v>
      </c>
      <c r="U72" s="266">
        <f t="shared" si="13"/>
        <v>1039200</v>
      </c>
      <c r="V72" s="266">
        <v>0</v>
      </c>
      <c r="W72" s="115"/>
    </row>
    <row r="73" spans="1:23" ht="23.25" hidden="1" customHeight="1">
      <c r="A73" s="260"/>
      <c r="B73" s="260"/>
      <c r="C73" s="260"/>
      <c r="D73" s="260"/>
      <c r="E73" s="260"/>
      <c r="F73" s="260"/>
      <c r="G73" s="260"/>
      <c r="H73" s="268" t="s">
        <v>1017</v>
      </c>
      <c r="I73" s="238"/>
      <c r="J73" s="262">
        <v>12</v>
      </c>
      <c r="K73" s="263" t="s">
        <v>967</v>
      </c>
      <c r="L73" s="274">
        <v>46800</v>
      </c>
      <c r="M73" s="265">
        <f t="shared" si="14"/>
        <v>561600</v>
      </c>
      <c r="N73" s="266">
        <v>12</v>
      </c>
      <c r="O73" s="261" t="s">
        <v>990</v>
      </c>
      <c r="P73" s="274">
        <v>46800</v>
      </c>
      <c r="Q73" s="275">
        <f t="shared" si="15"/>
        <v>561600</v>
      </c>
      <c r="R73" s="267">
        <f t="shared" si="10"/>
        <v>1</v>
      </c>
      <c r="S73" s="266">
        <f t="shared" si="11"/>
        <v>0</v>
      </c>
      <c r="T73" s="266">
        <f t="shared" si="12"/>
        <v>0</v>
      </c>
      <c r="U73" s="266">
        <f t="shared" si="13"/>
        <v>561600</v>
      </c>
      <c r="V73" s="266">
        <v>0</v>
      </c>
      <c r="W73" s="115"/>
    </row>
    <row r="74" spans="1:23" ht="29.25" hidden="1" customHeight="1">
      <c r="A74" s="260"/>
      <c r="B74" s="260"/>
      <c r="C74" s="260"/>
      <c r="D74" s="260"/>
      <c r="E74" s="260"/>
      <c r="F74" s="260"/>
      <c r="G74" s="260"/>
      <c r="H74" s="268" t="s">
        <v>1018</v>
      </c>
      <c r="I74" s="238"/>
      <c r="J74" s="262">
        <v>12</v>
      </c>
      <c r="K74" s="263" t="s">
        <v>967</v>
      </c>
      <c r="L74" s="274">
        <v>5700</v>
      </c>
      <c r="M74" s="265">
        <f t="shared" si="14"/>
        <v>68400</v>
      </c>
      <c r="N74" s="266">
        <v>12</v>
      </c>
      <c r="O74" s="261" t="s">
        <v>990</v>
      </c>
      <c r="P74" s="274">
        <v>5700</v>
      </c>
      <c r="Q74" s="275">
        <f t="shared" si="15"/>
        <v>68400</v>
      </c>
      <c r="R74" s="267">
        <f t="shared" si="10"/>
        <v>1</v>
      </c>
      <c r="S74" s="266">
        <f t="shared" si="11"/>
        <v>0</v>
      </c>
      <c r="T74" s="266">
        <f t="shared" si="12"/>
        <v>0</v>
      </c>
      <c r="U74" s="266">
        <f t="shared" si="13"/>
        <v>68400</v>
      </c>
      <c r="V74" s="266">
        <v>0</v>
      </c>
      <c r="W74" s="115"/>
    </row>
    <row r="75" spans="1:23" ht="27.75" hidden="1" customHeight="1">
      <c r="A75" s="260"/>
      <c r="B75" s="260"/>
      <c r="C75" s="260"/>
      <c r="D75" s="260"/>
      <c r="E75" s="260"/>
      <c r="F75" s="260"/>
      <c r="G75" s="260"/>
      <c r="H75" s="268" t="s">
        <v>1019</v>
      </c>
      <c r="I75" s="238"/>
      <c r="J75" s="262">
        <v>12</v>
      </c>
      <c r="K75" s="263" t="s">
        <v>967</v>
      </c>
      <c r="L75" s="274">
        <v>7100</v>
      </c>
      <c r="M75" s="265">
        <f t="shared" si="14"/>
        <v>85200</v>
      </c>
      <c r="N75" s="266">
        <v>12</v>
      </c>
      <c r="O75" s="261" t="s">
        <v>990</v>
      </c>
      <c r="P75" s="274">
        <v>7100</v>
      </c>
      <c r="Q75" s="275">
        <f t="shared" si="15"/>
        <v>85200</v>
      </c>
      <c r="R75" s="267">
        <f t="shared" si="10"/>
        <v>1</v>
      </c>
      <c r="S75" s="266">
        <f t="shared" si="11"/>
        <v>0</v>
      </c>
      <c r="T75" s="266">
        <f t="shared" si="12"/>
        <v>0</v>
      </c>
      <c r="U75" s="266">
        <f t="shared" si="13"/>
        <v>85200</v>
      </c>
      <c r="V75" s="266">
        <v>0</v>
      </c>
      <c r="W75" s="115"/>
    </row>
    <row r="76" spans="1:23" ht="26.25" hidden="1" customHeight="1">
      <c r="A76" s="260"/>
      <c r="B76" s="260"/>
      <c r="C76" s="260"/>
      <c r="D76" s="260"/>
      <c r="E76" s="260"/>
      <c r="F76" s="260"/>
      <c r="G76" s="260"/>
      <c r="H76" s="268" t="s">
        <v>1020</v>
      </c>
      <c r="I76" s="238"/>
      <c r="J76" s="262">
        <v>24</v>
      </c>
      <c r="K76" s="263" t="s">
        <v>967</v>
      </c>
      <c r="L76" s="274">
        <v>86300</v>
      </c>
      <c r="M76" s="276">
        <f t="shared" si="14"/>
        <v>2071200</v>
      </c>
      <c r="N76" s="266">
        <f>2*12</f>
        <v>24</v>
      </c>
      <c r="O76" s="261" t="s">
        <v>990</v>
      </c>
      <c r="P76" s="274">
        <v>85200</v>
      </c>
      <c r="Q76" s="275">
        <f>+N76*P76</f>
        <v>2044800</v>
      </c>
      <c r="R76" s="267">
        <f t="shared" si="10"/>
        <v>0.98725376593279257</v>
      </c>
      <c r="S76" s="266">
        <f t="shared" si="11"/>
        <v>0</v>
      </c>
      <c r="T76" s="266">
        <f t="shared" si="12"/>
        <v>0</v>
      </c>
      <c r="U76" s="266">
        <f t="shared" si="13"/>
        <v>2044800</v>
      </c>
      <c r="V76" s="266">
        <v>0</v>
      </c>
      <c r="W76" s="115"/>
    </row>
    <row r="77" spans="1:23" s="114" customFormat="1" ht="22.5" hidden="1" customHeight="1">
      <c r="A77" s="244"/>
      <c r="B77" s="244"/>
      <c r="C77" s="244"/>
      <c r="D77" s="260"/>
      <c r="E77" s="260"/>
      <c r="F77" s="260"/>
      <c r="G77" s="260"/>
      <c r="H77" s="268" t="s">
        <v>1021</v>
      </c>
      <c r="I77" s="238"/>
      <c r="J77" s="262">
        <v>24</v>
      </c>
      <c r="K77" s="263" t="s">
        <v>967</v>
      </c>
      <c r="L77" s="274">
        <v>46700</v>
      </c>
      <c r="M77" s="265">
        <f t="shared" si="14"/>
        <v>1120800</v>
      </c>
      <c r="N77" s="266">
        <f>2*12</f>
        <v>24</v>
      </c>
      <c r="O77" s="261" t="s">
        <v>990</v>
      </c>
      <c r="P77" s="274">
        <v>46100</v>
      </c>
      <c r="Q77" s="275">
        <f t="shared" si="15"/>
        <v>1106400</v>
      </c>
      <c r="R77" s="267">
        <f t="shared" si="10"/>
        <v>0.98715203426124198</v>
      </c>
      <c r="S77" s="266">
        <f t="shared" si="11"/>
        <v>0</v>
      </c>
      <c r="T77" s="266">
        <f t="shared" si="12"/>
        <v>0</v>
      </c>
      <c r="U77" s="266">
        <f t="shared" si="13"/>
        <v>1106400</v>
      </c>
      <c r="V77" s="266">
        <v>0</v>
      </c>
      <c r="W77" s="116"/>
    </row>
    <row r="78" spans="1:23" ht="43.5" hidden="1" customHeight="1">
      <c r="A78" s="252"/>
      <c r="B78" s="252"/>
      <c r="C78" s="252"/>
      <c r="D78" s="260"/>
      <c r="E78" s="260"/>
      <c r="F78" s="260"/>
      <c r="G78" s="260"/>
      <c r="H78" s="268" t="s">
        <v>1022</v>
      </c>
      <c r="I78" s="238"/>
      <c r="J78" s="262">
        <v>24</v>
      </c>
      <c r="K78" s="263" t="s">
        <v>967</v>
      </c>
      <c r="L78" s="274">
        <v>5600</v>
      </c>
      <c r="M78" s="276">
        <f t="shared" si="14"/>
        <v>134400</v>
      </c>
      <c r="N78" s="266">
        <f>2*12</f>
        <v>24</v>
      </c>
      <c r="O78" s="261" t="s">
        <v>990</v>
      </c>
      <c r="P78" s="274">
        <v>5600</v>
      </c>
      <c r="Q78" s="275">
        <f>+N78*P78</f>
        <v>134400</v>
      </c>
      <c r="R78" s="267">
        <f t="shared" si="10"/>
        <v>1</v>
      </c>
      <c r="S78" s="266">
        <f t="shared" si="11"/>
        <v>0</v>
      </c>
      <c r="T78" s="266">
        <f t="shared" si="12"/>
        <v>0</v>
      </c>
      <c r="U78" s="266">
        <f t="shared" si="13"/>
        <v>134400</v>
      </c>
      <c r="V78" s="266">
        <v>0</v>
      </c>
      <c r="W78" s="115"/>
    </row>
    <row r="79" spans="1:23" ht="55.5" hidden="1" customHeight="1">
      <c r="A79" s="260"/>
      <c r="B79" s="260"/>
      <c r="C79" s="260"/>
      <c r="D79" s="260"/>
      <c r="E79" s="260"/>
      <c r="F79" s="260"/>
      <c r="G79" s="260"/>
      <c r="H79" s="268" t="s">
        <v>1023</v>
      </c>
      <c r="I79" s="238"/>
      <c r="J79" s="262">
        <v>24</v>
      </c>
      <c r="K79" s="263" t="s">
        <v>967</v>
      </c>
      <c r="L79" s="274">
        <v>7000</v>
      </c>
      <c r="M79" s="276">
        <f t="shared" si="14"/>
        <v>168000</v>
      </c>
      <c r="N79" s="266">
        <f>2*12</f>
        <v>24</v>
      </c>
      <c r="O79" s="261" t="s">
        <v>990</v>
      </c>
      <c r="P79" s="274">
        <v>7000</v>
      </c>
      <c r="Q79" s="275">
        <f>P79*N79-212</f>
        <v>167788</v>
      </c>
      <c r="R79" s="267">
        <f t="shared" si="10"/>
        <v>0.9987380952380952</v>
      </c>
      <c r="S79" s="266">
        <f t="shared" si="11"/>
        <v>0</v>
      </c>
      <c r="T79" s="266">
        <f t="shared" si="12"/>
        <v>0</v>
      </c>
      <c r="U79" s="266">
        <f t="shared" si="13"/>
        <v>167788</v>
      </c>
      <c r="V79" s="266">
        <v>0</v>
      </c>
      <c r="W79" s="115"/>
    </row>
    <row r="80" spans="1:23" ht="44.25" customHeight="1">
      <c r="A80" s="229" t="s">
        <v>362</v>
      </c>
      <c r="B80" s="229" t="s">
        <v>960</v>
      </c>
      <c r="C80" s="270" t="s">
        <v>1002</v>
      </c>
      <c r="D80" s="229"/>
      <c r="E80" s="229"/>
      <c r="F80" s="229"/>
      <c r="G80" s="229" t="s">
        <v>959</v>
      </c>
      <c r="H80" s="238" t="s">
        <v>1024</v>
      </c>
      <c r="I80" s="238" t="s">
        <v>1025</v>
      </c>
      <c r="J80" s="239"/>
      <c r="K80" s="240">
        <v>12</v>
      </c>
      <c r="L80" s="241" t="s">
        <v>1073</v>
      </c>
      <c r="M80" s="249">
        <f>M81</f>
        <v>84695557</v>
      </c>
      <c r="N80" s="266"/>
      <c r="O80" s="240">
        <v>12</v>
      </c>
      <c r="P80" s="241" t="s">
        <v>1073</v>
      </c>
      <c r="Q80" s="271">
        <f>+Q81</f>
        <v>64284056</v>
      </c>
      <c r="R80" s="236">
        <f>Q80/M80*100%</f>
        <v>0.75900151409359051</v>
      </c>
      <c r="S80" s="271">
        <f>+S81</f>
        <v>0</v>
      </c>
      <c r="T80" s="271">
        <f>+T81</f>
        <v>0</v>
      </c>
      <c r="U80" s="271">
        <f>+U81</f>
        <v>64284056</v>
      </c>
      <c r="V80" s="271">
        <f>+V81</f>
        <v>0</v>
      </c>
      <c r="W80" s="115"/>
    </row>
    <row r="81" spans="1:23" s="118" customFormat="1" ht="37.5" hidden="1" customHeight="1">
      <c r="A81" s="260" t="s">
        <v>362</v>
      </c>
      <c r="B81" s="260" t="s">
        <v>960</v>
      </c>
      <c r="C81" s="269" t="s">
        <v>1002</v>
      </c>
      <c r="D81" s="244" t="s">
        <v>363</v>
      </c>
      <c r="E81" s="244" t="s">
        <v>970</v>
      </c>
      <c r="F81" s="244" t="s">
        <v>959</v>
      </c>
      <c r="G81" s="244" t="s">
        <v>959</v>
      </c>
      <c r="H81" s="245" t="s">
        <v>1026</v>
      </c>
      <c r="I81" s="238"/>
      <c r="J81" s="246"/>
      <c r="K81" s="247"/>
      <c r="L81" s="248"/>
      <c r="M81" s="249">
        <f>M82+M108+M115+M125</f>
        <v>84695557</v>
      </c>
      <c r="N81" s="250"/>
      <c r="O81" s="245"/>
      <c r="P81" s="250"/>
      <c r="Q81" s="249">
        <f>Q82+Q108+Q115+Q125</f>
        <v>64284056</v>
      </c>
      <c r="R81" s="251"/>
      <c r="S81" s="249">
        <f>S82+S108+S115+S125</f>
        <v>0</v>
      </c>
      <c r="T81" s="249">
        <f>T82+T108+T115+T125</f>
        <v>0</v>
      </c>
      <c r="U81" s="249">
        <f>U82+U108+U115+U125</f>
        <v>64284056</v>
      </c>
      <c r="V81" s="249">
        <f>V82+V108+V115+V125</f>
        <v>0</v>
      </c>
      <c r="W81" s="117"/>
    </row>
    <row r="82" spans="1:23" s="118" customFormat="1" ht="46.5" hidden="1" customHeight="1">
      <c r="A82" s="260" t="s">
        <v>362</v>
      </c>
      <c r="B82" s="260" t="s">
        <v>960</v>
      </c>
      <c r="C82" s="269" t="s">
        <v>1002</v>
      </c>
      <c r="D82" s="252" t="s">
        <v>363</v>
      </c>
      <c r="E82" s="252" t="s">
        <v>970</v>
      </c>
      <c r="F82" s="252" t="s">
        <v>362</v>
      </c>
      <c r="G82" s="252" t="s">
        <v>959</v>
      </c>
      <c r="H82" s="253" t="s">
        <v>134</v>
      </c>
      <c r="I82" s="238"/>
      <c r="J82" s="254"/>
      <c r="K82" s="255"/>
      <c r="L82" s="256"/>
      <c r="M82" s="257">
        <f>+SUM(M83:M107)</f>
        <v>27656659</v>
      </c>
      <c r="N82" s="258"/>
      <c r="O82" s="253"/>
      <c r="P82" s="258"/>
      <c r="Q82" s="257">
        <f>+SUM(Q83:Q107)</f>
        <v>16128600</v>
      </c>
      <c r="R82" s="259"/>
      <c r="S82" s="257">
        <f>+SUM(S83:S107)</f>
        <v>0</v>
      </c>
      <c r="T82" s="257">
        <f>+SUM(T83:T107)</f>
        <v>0</v>
      </c>
      <c r="U82" s="257">
        <f>+SUM(U83:U107)</f>
        <v>16128600</v>
      </c>
      <c r="V82" s="257">
        <f>+SUM(V83:V107)</f>
        <v>0</v>
      </c>
      <c r="W82" s="117"/>
    </row>
    <row r="83" spans="1:23" s="114" customFormat="1" ht="23.25" hidden="1" customHeight="1">
      <c r="A83" s="260" t="s">
        <v>362</v>
      </c>
      <c r="B83" s="260" t="s">
        <v>960</v>
      </c>
      <c r="C83" s="269" t="s">
        <v>1002</v>
      </c>
      <c r="D83" s="260" t="s">
        <v>363</v>
      </c>
      <c r="E83" s="260" t="s">
        <v>970</v>
      </c>
      <c r="F83" s="260" t="s">
        <v>362</v>
      </c>
      <c r="G83" s="260" t="s">
        <v>960</v>
      </c>
      <c r="H83" s="261" t="s">
        <v>1027</v>
      </c>
      <c r="I83" s="238"/>
      <c r="J83" s="262"/>
      <c r="K83" s="263"/>
      <c r="L83" s="264"/>
      <c r="M83" s="265"/>
      <c r="N83" s="266"/>
      <c r="O83" s="261"/>
      <c r="P83" s="266"/>
      <c r="Q83" s="266"/>
      <c r="R83" s="267"/>
      <c r="S83" s="266"/>
      <c r="T83" s="266"/>
      <c r="U83" s="266"/>
      <c r="V83" s="266"/>
      <c r="W83" s="116"/>
    </row>
    <row r="84" spans="1:23" ht="28.5" hidden="1" customHeight="1">
      <c r="A84" s="260"/>
      <c r="B84" s="260"/>
      <c r="C84" s="260"/>
      <c r="D84" s="260"/>
      <c r="E84" s="260"/>
      <c r="F84" s="260"/>
      <c r="G84" s="260"/>
      <c r="H84" s="268" t="s">
        <v>1028</v>
      </c>
      <c r="I84" s="238"/>
      <c r="J84" s="262">
        <v>1</v>
      </c>
      <c r="K84" s="263" t="s">
        <v>1029</v>
      </c>
      <c r="L84" s="274">
        <v>2290351</v>
      </c>
      <c r="M84" s="276">
        <f t="shared" ref="M84:M89" si="17">+J84*L84</f>
        <v>2290351</v>
      </c>
      <c r="N84" s="266">
        <v>1</v>
      </c>
      <c r="O84" s="261" t="s">
        <v>1029</v>
      </c>
      <c r="P84" s="266">
        <f>574000+200000+85000+426500+995500</f>
        <v>2281000</v>
      </c>
      <c r="Q84" s="266">
        <f t="shared" ref="Q84:Q89" si="18">+N84*P84</f>
        <v>2281000</v>
      </c>
      <c r="R84" s="267">
        <f t="shared" ref="R84:R89" si="19">IF(J84="","",Q84/M84)</f>
        <v>0.99591721967506286</v>
      </c>
      <c r="S84" s="266">
        <f t="shared" ref="S84:S89" si="20">+IF(W84="DDS",Q84,0)</f>
        <v>0</v>
      </c>
      <c r="T84" s="266">
        <f t="shared" ref="T84:T89" si="21">+IF(W84="ADD",Q84,0)</f>
        <v>0</v>
      </c>
      <c r="U84" s="266">
        <f t="shared" ref="U84:U89" si="22">+IF(W84="DDS",0,IF(W84="ADD",0,Q84))</f>
        <v>2281000</v>
      </c>
      <c r="V84" s="266">
        <v>0</v>
      </c>
      <c r="W84" s="115"/>
    </row>
    <row r="85" spans="1:23" ht="28.5" hidden="1" customHeight="1">
      <c r="A85" s="260"/>
      <c r="B85" s="260"/>
      <c r="C85" s="260"/>
      <c r="D85" s="260"/>
      <c r="E85" s="260"/>
      <c r="F85" s="260"/>
      <c r="G85" s="260"/>
      <c r="H85" s="268" t="s">
        <v>1030</v>
      </c>
      <c r="I85" s="238"/>
      <c r="J85" s="262">
        <v>1</v>
      </c>
      <c r="K85" s="263" t="s">
        <v>1029</v>
      </c>
      <c r="L85" s="264">
        <v>1590000</v>
      </c>
      <c r="M85" s="265">
        <f t="shared" si="17"/>
        <v>1590000</v>
      </c>
      <c r="N85" s="266">
        <v>0</v>
      </c>
      <c r="O85" s="261"/>
      <c r="P85" s="266">
        <v>0</v>
      </c>
      <c r="Q85" s="266">
        <f t="shared" si="18"/>
        <v>0</v>
      </c>
      <c r="R85" s="267">
        <f t="shared" si="19"/>
        <v>0</v>
      </c>
      <c r="S85" s="266">
        <f t="shared" si="20"/>
        <v>0</v>
      </c>
      <c r="T85" s="266">
        <f t="shared" si="21"/>
        <v>0</v>
      </c>
      <c r="U85" s="266">
        <f t="shared" si="22"/>
        <v>0</v>
      </c>
      <c r="V85" s="266">
        <v>0</v>
      </c>
      <c r="W85" s="115"/>
    </row>
    <row r="86" spans="1:23" ht="42.75" hidden="1" customHeight="1">
      <c r="A86" s="229"/>
      <c r="B86" s="229"/>
      <c r="C86" s="229"/>
      <c r="D86" s="260"/>
      <c r="E86" s="260"/>
      <c r="F86" s="260"/>
      <c r="G86" s="260"/>
      <c r="H86" s="268" t="s">
        <v>1028</v>
      </c>
      <c r="I86" s="238"/>
      <c r="J86" s="262">
        <v>1</v>
      </c>
      <c r="K86" s="263" t="s">
        <v>1029</v>
      </c>
      <c r="L86" s="264">
        <v>1700000</v>
      </c>
      <c r="M86" s="265">
        <f t="shared" si="17"/>
        <v>1700000</v>
      </c>
      <c r="N86" s="266">
        <v>0</v>
      </c>
      <c r="O86" s="261"/>
      <c r="P86" s="266">
        <v>0</v>
      </c>
      <c r="Q86" s="266">
        <f t="shared" si="18"/>
        <v>0</v>
      </c>
      <c r="R86" s="267">
        <f t="shared" si="19"/>
        <v>0</v>
      </c>
      <c r="S86" s="266">
        <f t="shared" si="20"/>
        <v>0</v>
      </c>
      <c r="T86" s="266">
        <f t="shared" si="21"/>
        <v>0</v>
      </c>
      <c r="U86" s="266">
        <f t="shared" si="22"/>
        <v>0</v>
      </c>
      <c r="V86" s="266">
        <v>0</v>
      </c>
      <c r="W86" s="115"/>
    </row>
    <row r="87" spans="1:23" s="114" customFormat="1" ht="28.5" hidden="1" customHeight="1">
      <c r="A87" s="244"/>
      <c r="B87" s="244"/>
      <c r="C87" s="244"/>
      <c r="D87" s="260"/>
      <c r="E87" s="260"/>
      <c r="F87" s="260"/>
      <c r="G87" s="260"/>
      <c r="H87" s="268" t="s">
        <v>1028</v>
      </c>
      <c r="I87" s="238"/>
      <c r="J87" s="262">
        <v>1</v>
      </c>
      <c r="K87" s="263" t="s">
        <v>1029</v>
      </c>
      <c r="L87" s="264">
        <v>2504486</v>
      </c>
      <c r="M87" s="265">
        <f>+J87*L87</f>
        <v>2504486</v>
      </c>
      <c r="N87" s="266">
        <v>1</v>
      </c>
      <c r="O87" s="261" t="s">
        <v>1029</v>
      </c>
      <c r="P87" s="266">
        <f>983500+960750</f>
        <v>1944250</v>
      </c>
      <c r="Q87" s="266">
        <f t="shared" si="18"/>
        <v>1944250</v>
      </c>
      <c r="R87" s="267">
        <f t="shared" si="19"/>
        <v>0.77630699472865894</v>
      </c>
      <c r="S87" s="266">
        <f t="shared" si="20"/>
        <v>0</v>
      </c>
      <c r="T87" s="266">
        <f t="shared" si="21"/>
        <v>0</v>
      </c>
      <c r="U87" s="266">
        <f t="shared" si="22"/>
        <v>1944250</v>
      </c>
      <c r="V87" s="266">
        <v>0</v>
      </c>
      <c r="W87" s="116"/>
    </row>
    <row r="88" spans="1:23" ht="21.75" hidden="1" customHeight="1">
      <c r="A88" s="252"/>
      <c r="B88" s="252"/>
      <c r="C88" s="277"/>
      <c r="D88" s="260"/>
      <c r="E88" s="260"/>
      <c r="F88" s="260"/>
      <c r="G88" s="260"/>
      <c r="H88" s="268" t="s">
        <v>1031</v>
      </c>
      <c r="I88" s="238"/>
      <c r="J88" s="262">
        <v>120</v>
      </c>
      <c r="K88" s="263" t="s">
        <v>1032</v>
      </c>
      <c r="L88" s="264">
        <v>10000</v>
      </c>
      <c r="M88" s="265">
        <f t="shared" si="17"/>
        <v>1200000</v>
      </c>
      <c r="N88" s="266">
        <f>40+20</f>
        <v>60</v>
      </c>
      <c r="O88" s="261" t="s">
        <v>1033</v>
      </c>
      <c r="P88" s="266">
        <v>10000</v>
      </c>
      <c r="Q88" s="266">
        <f t="shared" si="18"/>
        <v>600000</v>
      </c>
      <c r="R88" s="267">
        <f t="shared" si="19"/>
        <v>0.5</v>
      </c>
      <c r="S88" s="266">
        <f t="shared" si="20"/>
        <v>0</v>
      </c>
      <c r="T88" s="266">
        <f t="shared" si="21"/>
        <v>0</v>
      </c>
      <c r="U88" s="266">
        <f t="shared" si="22"/>
        <v>600000</v>
      </c>
      <c r="V88" s="266">
        <v>0</v>
      </c>
      <c r="W88" s="115"/>
    </row>
    <row r="89" spans="1:23" s="114" customFormat="1" ht="21.75" hidden="1" customHeight="1">
      <c r="A89" s="260" t="s">
        <v>362</v>
      </c>
      <c r="B89" s="260" t="s">
        <v>960</v>
      </c>
      <c r="C89" s="269" t="s">
        <v>1002</v>
      </c>
      <c r="D89" s="260">
        <v>5</v>
      </c>
      <c r="E89" s="260">
        <v>2</v>
      </c>
      <c r="F89" s="260">
        <v>1</v>
      </c>
      <c r="G89" s="269" t="s">
        <v>963</v>
      </c>
      <c r="H89" s="261" t="s">
        <v>507</v>
      </c>
      <c r="I89" s="238"/>
      <c r="J89" s="262">
        <v>1</v>
      </c>
      <c r="K89" s="263" t="s">
        <v>1029</v>
      </c>
      <c r="L89" s="264">
        <v>970000</v>
      </c>
      <c r="M89" s="265">
        <f t="shared" si="17"/>
        <v>970000</v>
      </c>
      <c r="N89" s="266">
        <v>1</v>
      </c>
      <c r="O89" s="261" t="s">
        <v>1034</v>
      </c>
      <c r="P89" s="266">
        <f>300000+200000+150000</f>
        <v>650000</v>
      </c>
      <c r="Q89" s="266">
        <f t="shared" si="18"/>
        <v>650000</v>
      </c>
      <c r="R89" s="267">
        <f t="shared" si="19"/>
        <v>0.67010309278350511</v>
      </c>
      <c r="S89" s="266">
        <f t="shared" si="20"/>
        <v>0</v>
      </c>
      <c r="T89" s="266">
        <f t="shared" si="21"/>
        <v>0</v>
      </c>
      <c r="U89" s="266">
        <f t="shared" si="22"/>
        <v>650000</v>
      </c>
      <c r="V89" s="266">
        <v>0</v>
      </c>
      <c r="W89" s="116"/>
    </row>
    <row r="90" spans="1:23" ht="21.75" hidden="1" customHeight="1">
      <c r="A90" s="260" t="s">
        <v>362</v>
      </c>
      <c r="B90" s="260" t="s">
        <v>960</v>
      </c>
      <c r="C90" s="269" t="s">
        <v>1002</v>
      </c>
      <c r="D90" s="260">
        <v>5</v>
      </c>
      <c r="E90" s="260">
        <v>2</v>
      </c>
      <c r="F90" s="260">
        <v>1</v>
      </c>
      <c r="G90" s="269" t="s">
        <v>995</v>
      </c>
      <c r="H90" s="261" t="s">
        <v>1035</v>
      </c>
      <c r="I90" s="238"/>
      <c r="J90" s="262"/>
      <c r="K90" s="263"/>
      <c r="L90" s="264"/>
      <c r="M90" s="265"/>
      <c r="N90" s="266"/>
      <c r="O90" s="261"/>
      <c r="P90" s="266"/>
      <c r="Q90" s="266"/>
      <c r="R90" s="267"/>
      <c r="S90" s="266"/>
      <c r="T90" s="266"/>
      <c r="U90" s="266"/>
      <c r="V90" s="266"/>
      <c r="W90" s="115"/>
    </row>
    <row r="91" spans="1:23" ht="21.75" hidden="1" customHeight="1">
      <c r="A91" s="260"/>
      <c r="B91" s="260"/>
      <c r="C91" s="260"/>
      <c r="D91" s="260"/>
      <c r="E91" s="260"/>
      <c r="F91" s="260"/>
      <c r="G91" s="269"/>
      <c r="H91" s="268" t="s">
        <v>1036</v>
      </c>
      <c r="I91" s="238"/>
      <c r="J91" s="262">
        <v>1</v>
      </c>
      <c r="K91" s="263" t="s">
        <v>1029</v>
      </c>
      <c r="L91" s="264">
        <v>1800000</v>
      </c>
      <c r="M91" s="265">
        <f>+J91*L91</f>
        <v>1800000</v>
      </c>
      <c r="N91" s="266">
        <v>1</v>
      </c>
      <c r="O91" s="261" t="s">
        <v>1029</v>
      </c>
      <c r="P91" s="266">
        <f>300000+206000+94000+300000+164500+205500+191600+110000+210000</f>
        <v>1781600</v>
      </c>
      <c r="Q91" s="266">
        <f t="shared" ref="Q91:Q97" si="23">+N91*P91</f>
        <v>1781600</v>
      </c>
      <c r="R91" s="267">
        <f>IF(J91="","",Q91/M91)</f>
        <v>0.98977777777777776</v>
      </c>
      <c r="S91" s="266">
        <f t="shared" ref="S91:S98" si="24">+IF(W91="DDS",Q91,0)</f>
        <v>0</v>
      </c>
      <c r="T91" s="266">
        <f t="shared" ref="T91:T98" si="25">+IF(W91="ADD",Q91,0)</f>
        <v>0</v>
      </c>
      <c r="U91" s="266">
        <f t="shared" ref="U91:U98" si="26">+IF(W91="DDS",0,IF(W91="ADD",0,Q91))</f>
        <v>1781600</v>
      </c>
      <c r="V91" s="266">
        <v>0</v>
      </c>
      <c r="W91" s="115"/>
    </row>
    <row r="92" spans="1:23" ht="28.5" hidden="1" customHeight="1">
      <c r="A92" s="260"/>
      <c r="B92" s="260"/>
      <c r="C92" s="269"/>
      <c r="D92" s="260"/>
      <c r="E92" s="260"/>
      <c r="F92" s="260"/>
      <c r="G92" s="269"/>
      <c r="H92" s="268" t="s">
        <v>1037</v>
      </c>
      <c r="I92" s="238"/>
      <c r="J92" s="262">
        <v>1</v>
      </c>
      <c r="K92" s="263" t="s">
        <v>1029</v>
      </c>
      <c r="L92" s="264">
        <v>1187300</v>
      </c>
      <c r="M92" s="265">
        <f>+J92*L92</f>
        <v>1187300</v>
      </c>
      <c r="N92" s="266">
        <v>1</v>
      </c>
      <c r="O92" s="261" t="s">
        <v>1029</v>
      </c>
      <c r="P92" s="266">
        <v>1150000</v>
      </c>
      <c r="Q92" s="266">
        <f t="shared" si="23"/>
        <v>1150000</v>
      </c>
      <c r="R92" s="267">
        <f>IF(J92="","",Q92/M92)</f>
        <v>0.96858418259917456</v>
      </c>
      <c r="S92" s="266">
        <f t="shared" si="24"/>
        <v>0</v>
      </c>
      <c r="T92" s="266">
        <f t="shared" si="25"/>
        <v>0</v>
      </c>
      <c r="U92" s="266">
        <f t="shared" si="26"/>
        <v>1150000</v>
      </c>
      <c r="V92" s="266">
        <v>0</v>
      </c>
      <c r="W92" s="115"/>
    </row>
    <row r="93" spans="1:23" ht="22.5" hidden="1" customHeight="1">
      <c r="A93" s="260" t="s">
        <v>362</v>
      </c>
      <c r="B93" s="260" t="s">
        <v>960</v>
      </c>
      <c r="C93" s="269" t="s">
        <v>1002</v>
      </c>
      <c r="D93" s="260" t="s">
        <v>363</v>
      </c>
      <c r="E93" s="260" t="s">
        <v>970</v>
      </c>
      <c r="F93" s="260" t="s">
        <v>362</v>
      </c>
      <c r="G93" s="260" t="s">
        <v>1038</v>
      </c>
      <c r="H93" s="261" t="s">
        <v>251</v>
      </c>
      <c r="I93" s="238"/>
      <c r="J93" s="262"/>
      <c r="K93" s="263"/>
      <c r="L93" s="264"/>
      <c r="M93" s="265"/>
      <c r="N93" s="266">
        <v>0</v>
      </c>
      <c r="O93" s="261"/>
      <c r="P93" s="266">
        <v>0</v>
      </c>
      <c r="Q93" s="266">
        <f t="shared" si="23"/>
        <v>0</v>
      </c>
      <c r="R93" s="267" t="str">
        <f t="shared" ref="R93:R112" si="27">IF(J93="","",Q93/M93)</f>
        <v/>
      </c>
      <c r="S93" s="266">
        <f t="shared" si="24"/>
        <v>0</v>
      </c>
      <c r="T93" s="266">
        <f t="shared" si="25"/>
        <v>0</v>
      </c>
      <c r="U93" s="266">
        <f t="shared" si="26"/>
        <v>0</v>
      </c>
      <c r="V93" s="266">
        <v>0</v>
      </c>
      <c r="W93" s="115"/>
    </row>
    <row r="94" spans="1:23" s="114" customFormat="1" ht="22.5" hidden="1" customHeight="1">
      <c r="A94" s="260"/>
      <c r="B94" s="260"/>
      <c r="C94" s="260"/>
      <c r="D94" s="260"/>
      <c r="E94" s="260"/>
      <c r="F94" s="260"/>
      <c r="G94" s="260"/>
      <c r="H94" s="268" t="s">
        <v>1039</v>
      </c>
      <c r="I94" s="238"/>
      <c r="J94" s="262">
        <v>1</v>
      </c>
      <c r="K94" s="263" t="s">
        <v>1029</v>
      </c>
      <c r="L94" s="264">
        <v>2145500</v>
      </c>
      <c r="M94" s="265">
        <f>+J94*L94</f>
        <v>2145500</v>
      </c>
      <c r="N94" s="266">
        <v>1</v>
      </c>
      <c r="O94" s="261" t="s">
        <v>1029</v>
      </c>
      <c r="P94" s="266">
        <v>874750</v>
      </c>
      <c r="Q94" s="266">
        <f t="shared" si="23"/>
        <v>874750</v>
      </c>
      <c r="R94" s="267">
        <f t="shared" si="27"/>
        <v>0.40771381962246561</v>
      </c>
      <c r="S94" s="266">
        <f t="shared" si="24"/>
        <v>0</v>
      </c>
      <c r="T94" s="266">
        <f t="shared" si="25"/>
        <v>0</v>
      </c>
      <c r="U94" s="266">
        <f t="shared" si="26"/>
        <v>874750</v>
      </c>
      <c r="V94" s="266">
        <v>0</v>
      </c>
      <c r="W94" s="115"/>
    </row>
    <row r="95" spans="1:23" s="114" customFormat="1" ht="36" hidden="1" customHeight="1">
      <c r="A95" s="229"/>
      <c r="B95" s="229"/>
      <c r="C95" s="270"/>
      <c r="D95" s="260"/>
      <c r="E95" s="260"/>
      <c r="F95" s="260"/>
      <c r="G95" s="260"/>
      <c r="H95" s="268" t="s">
        <v>1039</v>
      </c>
      <c r="I95" s="238"/>
      <c r="J95" s="262">
        <v>1</v>
      </c>
      <c r="K95" s="263" t="s">
        <v>1029</v>
      </c>
      <c r="L95" s="264">
        <v>1619022</v>
      </c>
      <c r="M95" s="265">
        <f>+J95*L95</f>
        <v>1619022</v>
      </c>
      <c r="N95" s="266">
        <v>0</v>
      </c>
      <c r="O95" s="261"/>
      <c r="P95" s="266">
        <v>0</v>
      </c>
      <c r="Q95" s="266">
        <f t="shared" si="23"/>
        <v>0</v>
      </c>
      <c r="R95" s="267">
        <f t="shared" si="27"/>
        <v>0</v>
      </c>
      <c r="S95" s="266">
        <f t="shared" si="24"/>
        <v>0</v>
      </c>
      <c r="T95" s="266">
        <f t="shared" si="25"/>
        <v>0</v>
      </c>
      <c r="U95" s="266">
        <f t="shared" si="26"/>
        <v>0</v>
      </c>
      <c r="V95" s="266">
        <v>0</v>
      </c>
      <c r="W95" s="116"/>
    </row>
    <row r="96" spans="1:23" ht="36" hidden="1" customHeight="1">
      <c r="A96" s="244"/>
      <c r="B96" s="244"/>
      <c r="C96" s="244"/>
      <c r="D96" s="260"/>
      <c r="E96" s="260"/>
      <c r="F96" s="260"/>
      <c r="G96" s="260"/>
      <c r="H96" s="268" t="s">
        <v>1039</v>
      </c>
      <c r="I96" s="238"/>
      <c r="J96" s="262">
        <v>1</v>
      </c>
      <c r="K96" s="263" t="s">
        <v>1029</v>
      </c>
      <c r="L96" s="264">
        <v>3800000</v>
      </c>
      <c r="M96" s="265">
        <f>+J96*L96</f>
        <v>3800000</v>
      </c>
      <c r="N96" s="266">
        <v>1</v>
      </c>
      <c r="O96" s="261" t="s">
        <v>1029</v>
      </c>
      <c r="P96" s="266">
        <f>613000+317750+799750+316500</f>
        <v>2047000</v>
      </c>
      <c r="Q96" s="266">
        <f t="shared" si="23"/>
        <v>2047000</v>
      </c>
      <c r="R96" s="267">
        <f t="shared" si="27"/>
        <v>0.53868421052631577</v>
      </c>
      <c r="S96" s="266">
        <f t="shared" si="24"/>
        <v>0</v>
      </c>
      <c r="T96" s="266">
        <f t="shared" si="25"/>
        <v>0</v>
      </c>
      <c r="U96" s="266">
        <f t="shared" si="26"/>
        <v>2047000</v>
      </c>
      <c r="V96" s="266">
        <v>0</v>
      </c>
      <c r="W96" s="115"/>
    </row>
    <row r="97" spans="1:23" ht="31.5" hidden="1" customHeight="1">
      <c r="A97" s="260" t="s">
        <v>362</v>
      </c>
      <c r="B97" s="260" t="s">
        <v>960</v>
      </c>
      <c r="C97" s="269" t="s">
        <v>1002</v>
      </c>
      <c r="D97" s="260" t="s">
        <v>363</v>
      </c>
      <c r="E97" s="260" t="s">
        <v>970</v>
      </c>
      <c r="F97" s="260" t="s">
        <v>362</v>
      </c>
      <c r="G97" s="260" t="s">
        <v>1040</v>
      </c>
      <c r="H97" s="261" t="s">
        <v>527</v>
      </c>
      <c r="I97" s="238"/>
      <c r="J97" s="262"/>
      <c r="K97" s="263"/>
      <c r="L97" s="264"/>
      <c r="M97" s="265"/>
      <c r="N97" s="266">
        <v>0</v>
      </c>
      <c r="O97" s="261"/>
      <c r="P97" s="266">
        <v>0</v>
      </c>
      <c r="Q97" s="266">
        <f t="shared" si="23"/>
        <v>0</v>
      </c>
      <c r="R97" s="267" t="str">
        <f t="shared" si="27"/>
        <v/>
      </c>
      <c r="S97" s="266">
        <f t="shared" si="24"/>
        <v>0</v>
      </c>
      <c r="T97" s="266">
        <f t="shared" si="25"/>
        <v>0</v>
      </c>
      <c r="U97" s="266">
        <f t="shared" si="26"/>
        <v>0</v>
      </c>
      <c r="V97" s="266">
        <v>0</v>
      </c>
      <c r="W97" s="115"/>
    </row>
    <row r="98" spans="1:23" s="114" customFormat="1" ht="21.75" hidden="1" customHeight="1">
      <c r="A98" s="260"/>
      <c r="B98" s="260"/>
      <c r="C98" s="260"/>
      <c r="D98" s="260"/>
      <c r="E98" s="260"/>
      <c r="F98" s="260"/>
      <c r="G98" s="260"/>
      <c r="H98" s="268" t="s">
        <v>1041</v>
      </c>
      <c r="I98" s="238"/>
      <c r="J98" s="262">
        <v>216</v>
      </c>
      <c r="K98" s="263" t="s">
        <v>1042</v>
      </c>
      <c r="L98" s="264">
        <v>10000</v>
      </c>
      <c r="M98" s="265">
        <f>+J98*L98</f>
        <v>2160000</v>
      </c>
      <c r="N98" s="266">
        <v>169</v>
      </c>
      <c r="O98" s="261" t="s">
        <v>1042</v>
      </c>
      <c r="P98" s="266">
        <v>10000</v>
      </c>
      <c r="Q98" s="266">
        <f>+N98*P98</f>
        <v>1690000</v>
      </c>
      <c r="R98" s="267">
        <f t="shared" si="27"/>
        <v>0.78240740740740744</v>
      </c>
      <c r="S98" s="266">
        <f t="shared" si="24"/>
        <v>0</v>
      </c>
      <c r="T98" s="266">
        <f t="shared" si="25"/>
        <v>0</v>
      </c>
      <c r="U98" s="266">
        <f t="shared" si="26"/>
        <v>1690000</v>
      </c>
      <c r="V98" s="266">
        <v>0</v>
      </c>
      <c r="W98" s="116"/>
    </row>
    <row r="99" spans="1:23" ht="28.5" hidden="1" customHeight="1">
      <c r="A99" s="260" t="s">
        <v>362</v>
      </c>
      <c r="B99" s="260" t="s">
        <v>960</v>
      </c>
      <c r="C99" s="269" t="s">
        <v>1002</v>
      </c>
      <c r="D99" s="260">
        <v>5</v>
      </c>
      <c r="E99" s="260">
        <v>2</v>
      </c>
      <c r="F99" s="260">
        <v>1</v>
      </c>
      <c r="G99" s="269" t="s">
        <v>1043</v>
      </c>
      <c r="H99" s="268" t="s">
        <v>1044</v>
      </c>
      <c r="I99" s="238"/>
      <c r="J99" s="262"/>
      <c r="K99" s="263"/>
      <c r="L99" s="264"/>
      <c r="M99" s="265"/>
      <c r="N99" s="266"/>
      <c r="O99" s="261"/>
      <c r="P99" s="266"/>
      <c r="Q99" s="266"/>
      <c r="R99" s="267"/>
      <c r="S99" s="266"/>
      <c r="T99" s="266"/>
      <c r="U99" s="266"/>
      <c r="V99" s="266"/>
      <c r="W99" s="115"/>
    </row>
    <row r="100" spans="1:23" ht="28.5" hidden="1" customHeight="1">
      <c r="A100" s="260"/>
      <c r="B100" s="260"/>
      <c r="C100" s="260"/>
      <c r="D100" s="260"/>
      <c r="E100" s="260"/>
      <c r="F100" s="260"/>
      <c r="G100" s="260"/>
      <c r="H100" s="268" t="s">
        <v>1045</v>
      </c>
      <c r="I100" s="238"/>
      <c r="J100" s="262">
        <v>2</v>
      </c>
      <c r="K100" s="263" t="s">
        <v>1046</v>
      </c>
      <c r="L100" s="264">
        <v>35000</v>
      </c>
      <c r="M100" s="265">
        <f>+J100*L100</f>
        <v>70000</v>
      </c>
      <c r="N100" s="262">
        <v>2</v>
      </c>
      <c r="O100" s="263" t="s">
        <v>1046</v>
      </c>
      <c r="P100" s="264">
        <v>35000</v>
      </c>
      <c r="Q100" s="266">
        <f>+N100*P100</f>
        <v>70000</v>
      </c>
      <c r="R100" s="267">
        <f>IF(J100="","",Q100/M100)</f>
        <v>1</v>
      </c>
      <c r="S100" s="266">
        <f>+IF(W100="DDS",Q100,0)</f>
        <v>0</v>
      </c>
      <c r="T100" s="266">
        <f>+IF(W100="ADD",Q100,0)</f>
        <v>0</v>
      </c>
      <c r="U100" s="266">
        <f>+IF(W100="DDS",0,IF(W100="ADD",0,Q100))</f>
        <v>70000</v>
      </c>
      <c r="V100" s="266">
        <v>0</v>
      </c>
      <c r="W100" s="115"/>
    </row>
    <row r="101" spans="1:23" ht="28.5" hidden="1" customHeight="1">
      <c r="A101" s="260"/>
      <c r="B101" s="260"/>
      <c r="C101" s="260"/>
      <c r="D101" s="260"/>
      <c r="E101" s="260"/>
      <c r="F101" s="260"/>
      <c r="G101" s="260"/>
      <c r="H101" s="268" t="s">
        <v>1047</v>
      </c>
      <c r="I101" s="238"/>
      <c r="J101" s="262">
        <v>1</v>
      </c>
      <c r="K101" s="263" t="s">
        <v>1046</v>
      </c>
      <c r="L101" s="264">
        <v>1500000</v>
      </c>
      <c r="M101" s="265">
        <f>+J101*L101</f>
        <v>1500000</v>
      </c>
      <c r="N101" s="266">
        <v>1</v>
      </c>
      <c r="O101" s="261" t="s">
        <v>1034</v>
      </c>
      <c r="P101" s="266">
        <f>350000+270000</f>
        <v>620000</v>
      </c>
      <c r="Q101" s="266">
        <f>+N101*P101</f>
        <v>620000</v>
      </c>
      <c r="R101" s="267">
        <f>IF(J101="","",Q101/M101)</f>
        <v>0.41333333333333333</v>
      </c>
      <c r="S101" s="266">
        <f>+IF(W101="DDS",Q101,0)</f>
        <v>0</v>
      </c>
      <c r="T101" s="266">
        <f>+IF(W101="ADD",Q101,0)</f>
        <v>0</v>
      </c>
      <c r="U101" s="266">
        <f>+IF(W101="DDS",0,IF(W101="ADD",0,Q101))</f>
        <v>620000</v>
      </c>
      <c r="V101" s="266">
        <v>0</v>
      </c>
      <c r="W101" s="115"/>
    </row>
    <row r="102" spans="1:23" ht="27" hidden="1" customHeight="1">
      <c r="A102" s="260"/>
      <c r="B102" s="260"/>
      <c r="C102" s="260"/>
      <c r="D102" s="260"/>
      <c r="E102" s="260"/>
      <c r="F102" s="260"/>
      <c r="G102" s="260"/>
      <c r="H102" s="268" t="s">
        <v>1048</v>
      </c>
      <c r="I102" s="238"/>
      <c r="J102" s="262">
        <v>10</v>
      </c>
      <c r="K102" s="263" t="s">
        <v>1046</v>
      </c>
      <c r="L102" s="264">
        <v>35000</v>
      </c>
      <c r="M102" s="265">
        <f>+J102*L102</f>
        <v>350000</v>
      </c>
      <c r="N102" s="262">
        <v>10</v>
      </c>
      <c r="O102" s="263" t="s">
        <v>1046</v>
      </c>
      <c r="P102" s="264">
        <v>35000</v>
      </c>
      <c r="Q102" s="266">
        <f>+N102*P102</f>
        <v>350000</v>
      </c>
      <c r="R102" s="267">
        <f>IF(J102="","",Q102/M102)</f>
        <v>1</v>
      </c>
      <c r="S102" s="266">
        <f>+IF(W102="DDS",Q102,0)</f>
        <v>0</v>
      </c>
      <c r="T102" s="266">
        <f>+IF(W102="ADD",Q102,0)</f>
        <v>0</v>
      </c>
      <c r="U102" s="266">
        <f>+IF(W102="DDS",0,IF(W102="ADD",0,Q102))</f>
        <v>350000</v>
      </c>
      <c r="V102" s="266">
        <v>0</v>
      </c>
      <c r="W102" s="115"/>
    </row>
    <row r="103" spans="1:23" s="114" customFormat="1" ht="21.75" hidden="1" customHeight="1">
      <c r="A103" s="260" t="s">
        <v>362</v>
      </c>
      <c r="B103" s="260" t="s">
        <v>960</v>
      </c>
      <c r="C103" s="269" t="s">
        <v>1002</v>
      </c>
      <c r="D103" s="260">
        <v>5</v>
      </c>
      <c r="E103" s="260">
        <v>2</v>
      </c>
      <c r="F103" s="260">
        <v>1</v>
      </c>
      <c r="G103" s="269" t="s">
        <v>1049</v>
      </c>
      <c r="H103" s="268" t="s">
        <v>1050</v>
      </c>
      <c r="I103" s="238"/>
      <c r="J103" s="262"/>
      <c r="K103" s="263"/>
      <c r="L103" s="264"/>
      <c r="M103" s="265"/>
      <c r="N103" s="266"/>
      <c r="O103" s="261"/>
      <c r="P103" s="266">
        <v>0</v>
      </c>
      <c r="Q103" s="266"/>
      <c r="R103" s="267"/>
      <c r="S103" s="266"/>
      <c r="T103" s="266"/>
      <c r="U103" s="266"/>
      <c r="V103" s="266"/>
      <c r="W103" s="116"/>
    </row>
    <row r="104" spans="1:23" ht="29.25" hidden="1" customHeight="1">
      <c r="A104" s="260"/>
      <c r="B104" s="260"/>
      <c r="C104" s="260"/>
      <c r="D104" s="260"/>
      <c r="E104" s="260"/>
      <c r="F104" s="260"/>
      <c r="G104" s="260"/>
      <c r="H104" s="268" t="s">
        <v>1051</v>
      </c>
      <c r="I104" s="238"/>
      <c r="J104" s="262">
        <v>18</v>
      </c>
      <c r="K104" s="263" t="s">
        <v>1046</v>
      </c>
      <c r="L104" s="264">
        <v>100000</v>
      </c>
      <c r="M104" s="265">
        <f>+J104*L104</f>
        <v>1800000</v>
      </c>
      <c r="N104" s="262">
        <v>18</v>
      </c>
      <c r="O104" s="263" t="s">
        <v>1046</v>
      </c>
      <c r="P104" s="264">
        <v>100000</v>
      </c>
      <c r="Q104" s="266">
        <f>+N104*P104</f>
        <v>1800000</v>
      </c>
      <c r="R104" s="267">
        <f>IF(J104="","",Q104/M104)</f>
        <v>1</v>
      </c>
      <c r="S104" s="266">
        <f>+IF(W104="DDS",Q104,0)</f>
        <v>0</v>
      </c>
      <c r="T104" s="266">
        <f>+IF(W104="ADD",Q104,0)</f>
        <v>0</v>
      </c>
      <c r="U104" s="266">
        <f>+IF(W104="DDS",0,IF(W104="ADD",0,Q104))</f>
        <v>1800000</v>
      </c>
      <c r="V104" s="266">
        <v>0</v>
      </c>
      <c r="W104" s="115"/>
    </row>
    <row r="105" spans="1:23" ht="29.25" hidden="1" customHeight="1">
      <c r="A105" s="260" t="s">
        <v>362</v>
      </c>
      <c r="B105" s="260" t="s">
        <v>960</v>
      </c>
      <c r="C105" s="269" t="s">
        <v>1002</v>
      </c>
      <c r="D105" s="260">
        <v>5</v>
      </c>
      <c r="E105" s="260">
        <v>2</v>
      </c>
      <c r="F105" s="260">
        <v>1</v>
      </c>
      <c r="G105" s="269">
        <v>99</v>
      </c>
      <c r="H105" s="268" t="s">
        <v>1052</v>
      </c>
      <c r="I105" s="238"/>
      <c r="J105" s="262"/>
      <c r="K105" s="263"/>
      <c r="L105" s="264"/>
      <c r="M105" s="265"/>
      <c r="N105" s="266"/>
      <c r="O105" s="261"/>
      <c r="P105" s="266">
        <v>0</v>
      </c>
      <c r="Q105" s="266"/>
      <c r="R105" s="267"/>
      <c r="S105" s="266"/>
      <c r="T105" s="266"/>
      <c r="U105" s="266"/>
      <c r="V105" s="266"/>
      <c r="W105" s="115"/>
    </row>
    <row r="106" spans="1:23" ht="21.75" hidden="1" customHeight="1">
      <c r="A106" s="260"/>
      <c r="B106" s="260"/>
      <c r="C106" s="260"/>
      <c r="D106" s="260"/>
      <c r="E106" s="260"/>
      <c r="F106" s="260"/>
      <c r="G106" s="260"/>
      <c r="H106" s="268" t="s">
        <v>1053</v>
      </c>
      <c r="I106" s="238"/>
      <c r="J106" s="262">
        <v>2</v>
      </c>
      <c r="K106" s="263" t="s">
        <v>1046</v>
      </c>
      <c r="L106" s="264">
        <v>350000</v>
      </c>
      <c r="M106" s="265">
        <f>+J106*L106</f>
        <v>700000</v>
      </c>
      <c r="N106" s="266">
        <v>0</v>
      </c>
      <c r="O106" s="261"/>
      <c r="P106" s="266">
        <v>0</v>
      </c>
      <c r="Q106" s="266">
        <f>+N106*P106</f>
        <v>0</v>
      </c>
      <c r="R106" s="267">
        <f>IF(J106="","",Q106/M106)</f>
        <v>0</v>
      </c>
      <c r="S106" s="266">
        <f>+IF(W106="DDS",Q106,0)</f>
        <v>0</v>
      </c>
      <c r="T106" s="266">
        <f>+IF(W106="ADD",Q106,0)</f>
        <v>0</v>
      </c>
      <c r="U106" s="266">
        <f>+IF(W106="DDS",0,IF(W106="ADD",0,Q106))</f>
        <v>0</v>
      </c>
      <c r="V106" s="266">
        <v>0</v>
      </c>
      <c r="W106" s="115"/>
    </row>
    <row r="107" spans="1:23" ht="28.5" hidden="1" customHeight="1">
      <c r="A107" s="260"/>
      <c r="B107" s="260"/>
      <c r="C107" s="260"/>
      <c r="D107" s="260"/>
      <c r="E107" s="260"/>
      <c r="F107" s="260"/>
      <c r="G107" s="260"/>
      <c r="H107" s="268" t="s">
        <v>1054</v>
      </c>
      <c r="I107" s="238"/>
      <c r="J107" s="262">
        <v>18</v>
      </c>
      <c r="K107" s="263" t="s">
        <v>1046</v>
      </c>
      <c r="L107" s="264">
        <v>15000</v>
      </c>
      <c r="M107" s="265">
        <f>+J107*L107</f>
        <v>270000</v>
      </c>
      <c r="N107" s="262">
        <v>18</v>
      </c>
      <c r="O107" s="263" t="s">
        <v>1046</v>
      </c>
      <c r="P107" s="264">
        <v>15000</v>
      </c>
      <c r="Q107" s="266">
        <f>+N107*P107</f>
        <v>270000</v>
      </c>
      <c r="R107" s="267">
        <f>IF(J107="","",Q107/M107)</f>
        <v>1</v>
      </c>
      <c r="S107" s="266">
        <f>+IF(W107="DDS",Q107,0)</f>
        <v>0</v>
      </c>
      <c r="T107" s="266">
        <f>+IF(W107="ADD",Q107,0)</f>
        <v>0</v>
      </c>
      <c r="U107" s="266">
        <f>+IF(W107="DDS",0,IF(W107="ADD",0,Q107))</f>
        <v>270000</v>
      </c>
      <c r="V107" s="266">
        <v>0</v>
      </c>
      <c r="W107" s="115"/>
    </row>
    <row r="108" spans="1:23" ht="21.75" hidden="1" customHeight="1">
      <c r="A108" s="252" t="s">
        <v>362</v>
      </c>
      <c r="B108" s="252" t="s">
        <v>960</v>
      </c>
      <c r="C108" s="270" t="s">
        <v>1002</v>
      </c>
      <c r="D108" s="252" t="s">
        <v>363</v>
      </c>
      <c r="E108" s="252" t="s">
        <v>970</v>
      </c>
      <c r="F108" s="252" t="s">
        <v>970</v>
      </c>
      <c r="G108" s="252" t="s">
        <v>959</v>
      </c>
      <c r="H108" s="253" t="s">
        <v>135</v>
      </c>
      <c r="I108" s="238"/>
      <c r="J108" s="254"/>
      <c r="K108" s="255"/>
      <c r="L108" s="256"/>
      <c r="M108" s="257">
        <f>+SUM(M109:M114)</f>
        <v>39550000</v>
      </c>
      <c r="N108" s="258"/>
      <c r="O108" s="253"/>
      <c r="P108" s="258"/>
      <c r="Q108" s="257">
        <f>+SUM(Q109:Q114)</f>
        <v>37150000</v>
      </c>
      <c r="R108" s="259" t="str">
        <f t="shared" si="27"/>
        <v/>
      </c>
      <c r="S108" s="257">
        <f>+SUM(S109:S114)</f>
        <v>0</v>
      </c>
      <c r="T108" s="257">
        <f>+SUM(T109:T114)</f>
        <v>0</v>
      </c>
      <c r="U108" s="257">
        <f>+SUM(U109:U114)</f>
        <v>37150000</v>
      </c>
      <c r="V108" s="257">
        <f>+SUM(V109:V114)</f>
        <v>0</v>
      </c>
      <c r="W108" s="115"/>
    </row>
    <row r="109" spans="1:23" s="114" customFormat="1" ht="21.75" hidden="1" customHeight="1">
      <c r="A109" s="260" t="s">
        <v>362</v>
      </c>
      <c r="B109" s="260" t="s">
        <v>960</v>
      </c>
      <c r="C109" s="269" t="s">
        <v>1002</v>
      </c>
      <c r="D109" s="260" t="s">
        <v>363</v>
      </c>
      <c r="E109" s="260" t="s">
        <v>970</v>
      </c>
      <c r="F109" s="260" t="s">
        <v>970</v>
      </c>
      <c r="G109" s="260" t="s">
        <v>1040</v>
      </c>
      <c r="H109" s="261" t="s">
        <v>1055</v>
      </c>
      <c r="I109" s="230"/>
      <c r="J109" s="262"/>
      <c r="K109" s="263"/>
      <c r="L109" s="264"/>
      <c r="M109" s="265"/>
      <c r="N109" s="266"/>
      <c r="O109" s="261"/>
      <c r="P109" s="266"/>
      <c r="Q109" s="266"/>
      <c r="R109" s="267"/>
      <c r="S109" s="266"/>
      <c r="T109" s="266"/>
      <c r="U109" s="266"/>
      <c r="V109" s="266"/>
      <c r="W109" s="116"/>
    </row>
    <row r="110" spans="1:23" s="114" customFormat="1" ht="28.5" hidden="1" customHeight="1">
      <c r="A110" s="229"/>
      <c r="B110" s="229"/>
      <c r="C110" s="270"/>
      <c r="D110" s="260"/>
      <c r="E110" s="260"/>
      <c r="F110" s="260"/>
      <c r="G110" s="260"/>
      <c r="H110" s="268" t="s">
        <v>1056</v>
      </c>
      <c r="I110" s="238"/>
      <c r="J110" s="262">
        <v>6</v>
      </c>
      <c r="K110" s="263" t="s">
        <v>966</v>
      </c>
      <c r="L110" s="264">
        <v>1925000</v>
      </c>
      <c r="M110" s="265">
        <f>+J110*L110</f>
        <v>11550000</v>
      </c>
      <c r="N110" s="262">
        <v>6</v>
      </c>
      <c r="O110" s="263" t="s">
        <v>966</v>
      </c>
      <c r="P110" s="264">
        <v>1925000</v>
      </c>
      <c r="Q110" s="266">
        <f>+N110*P110</f>
        <v>11550000</v>
      </c>
      <c r="R110" s="267">
        <f t="shared" si="27"/>
        <v>1</v>
      </c>
      <c r="S110" s="266">
        <f>+IF(W110="DDS",Q110,0)</f>
        <v>0</v>
      </c>
      <c r="T110" s="266">
        <f>+IF(W110="ADD",Q110,0)</f>
        <v>0</v>
      </c>
      <c r="U110" s="266">
        <f>+IF(W110="DDS",0,IF(W110="ADD",0,Q110))</f>
        <v>11550000</v>
      </c>
      <c r="V110" s="266">
        <v>0</v>
      </c>
      <c r="W110" s="116"/>
    </row>
    <row r="111" spans="1:23" s="114" customFormat="1" ht="28.5" hidden="1" customHeight="1">
      <c r="A111" s="244"/>
      <c r="B111" s="244"/>
      <c r="C111" s="244"/>
      <c r="D111" s="260"/>
      <c r="E111" s="260"/>
      <c r="F111" s="260"/>
      <c r="G111" s="260"/>
      <c r="H111" s="268" t="s">
        <v>1056</v>
      </c>
      <c r="I111" s="238"/>
      <c r="J111" s="262">
        <v>6</v>
      </c>
      <c r="K111" s="263" t="s">
        <v>966</v>
      </c>
      <c r="L111" s="264">
        <v>1925000</v>
      </c>
      <c r="M111" s="265">
        <f>+J111*L111</f>
        <v>11550000</v>
      </c>
      <c r="N111" s="262">
        <v>6</v>
      </c>
      <c r="O111" s="263" t="s">
        <v>966</v>
      </c>
      <c r="P111" s="264">
        <v>1925000</v>
      </c>
      <c r="Q111" s="265">
        <f>+N111*P111</f>
        <v>11550000</v>
      </c>
      <c r="R111" s="267">
        <f t="shared" si="27"/>
        <v>1</v>
      </c>
      <c r="S111" s="266">
        <f>+IF(W111="DDS",Q111,0)</f>
        <v>0</v>
      </c>
      <c r="T111" s="266">
        <f>+IF(W111="ADD",Q111,0)</f>
        <v>0</v>
      </c>
      <c r="U111" s="266">
        <f>+IF(W111="DDS",0,IF(W111="ADD",0,Q111))</f>
        <v>11550000</v>
      </c>
      <c r="V111" s="266">
        <v>0</v>
      </c>
      <c r="W111" s="116"/>
    </row>
    <row r="112" spans="1:23" ht="34.5" hidden="1" customHeight="1">
      <c r="A112" s="260" t="s">
        <v>362</v>
      </c>
      <c r="B112" s="260" t="s">
        <v>960</v>
      </c>
      <c r="C112" s="269" t="s">
        <v>1002</v>
      </c>
      <c r="D112" s="260">
        <v>5</v>
      </c>
      <c r="E112" s="260">
        <v>2</v>
      </c>
      <c r="F112" s="260">
        <v>2</v>
      </c>
      <c r="G112" s="269" t="s">
        <v>1038</v>
      </c>
      <c r="H112" s="261" t="s">
        <v>1057</v>
      </c>
      <c r="I112" s="238"/>
      <c r="J112" s="262"/>
      <c r="K112" s="263"/>
      <c r="L112" s="264"/>
      <c r="M112" s="265"/>
      <c r="N112" s="266">
        <v>0</v>
      </c>
      <c r="O112" s="261"/>
      <c r="P112" s="266">
        <v>0</v>
      </c>
      <c r="Q112" s="266">
        <f>+N112*P112</f>
        <v>0</v>
      </c>
      <c r="R112" s="267" t="str">
        <f t="shared" si="27"/>
        <v/>
      </c>
      <c r="S112" s="266">
        <f>+IF(W112="DDS",Q112,0)</f>
        <v>0</v>
      </c>
      <c r="T112" s="266">
        <f>+IF(W112="ADD",Q112,0)</f>
        <v>0</v>
      </c>
      <c r="U112" s="266">
        <f>+IF(W112="DDS",0,IF(W112="ADD",0,Q112))</f>
        <v>0</v>
      </c>
      <c r="V112" s="266">
        <v>0</v>
      </c>
      <c r="W112" s="115"/>
    </row>
    <row r="113" spans="1:23" ht="21.75" hidden="1" customHeight="1">
      <c r="A113" s="229"/>
      <c r="B113" s="229"/>
      <c r="C113" s="270"/>
      <c r="D113" s="260"/>
      <c r="E113" s="260"/>
      <c r="F113" s="260"/>
      <c r="G113" s="260"/>
      <c r="H113" s="268" t="s">
        <v>1058</v>
      </c>
      <c r="I113" s="238"/>
      <c r="J113" s="262">
        <v>317</v>
      </c>
      <c r="K113" s="263" t="s">
        <v>1059</v>
      </c>
      <c r="L113" s="264">
        <v>50000</v>
      </c>
      <c r="M113" s="265">
        <f>+J113*L113</f>
        <v>15850000</v>
      </c>
      <c r="N113" s="266">
        <f>23+21+21+19+21+22+25+23+26+26+22+22</f>
        <v>271</v>
      </c>
      <c r="O113" s="261" t="s">
        <v>1060</v>
      </c>
      <c r="P113" s="266">
        <v>50000</v>
      </c>
      <c r="Q113" s="266">
        <f>+N113*P113</f>
        <v>13550000</v>
      </c>
      <c r="R113" s="267">
        <f>IF(J113="","",Q113/M113)</f>
        <v>0.85488958990536279</v>
      </c>
      <c r="S113" s="266">
        <f>+IF(W113="DDS",Q113,0)</f>
        <v>0</v>
      </c>
      <c r="T113" s="266">
        <f>+IF(W113="ADD",Q113,0)</f>
        <v>0</v>
      </c>
      <c r="U113" s="266">
        <f>+IF(W113="DDS",0,IF(W113="ADD",0,Q113))</f>
        <v>13550000</v>
      </c>
      <c r="V113" s="266">
        <v>0</v>
      </c>
      <c r="W113" s="115"/>
    </row>
    <row r="114" spans="1:23" ht="26.25" hidden="1" customHeight="1">
      <c r="A114" s="260"/>
      <c r="B114" s="260"/>
      <c r="C114" s="269"/>
      <c r="D114" s="260"/>
      <c r="E114" s="260"/>
      <c r="F114" s="260"/>
      <c r="G114" s="260"/>
      <c r="H114" s="268" t="s">
        <v>1061</v>
      </c>
      <c r="I114" s="238"/>
      <c r="J114" s="262">
        <v>1</v>
      </c>
      <c r="K114" s="263" t="s">
        <v>990</v>
      </c>
      <c r="L114" s="264">
        <v>600000</v>
      </c>
      <c r="M114" s="265">
        <f>+J114*L114</f>
        <v>600000</v>
      </c>
      <c r="N114" s="266">
        <v>10</v>
      </c>
      <c r="O114" s="261" t="s">
        <v>1060</v>
      </c>
      <c r="P114" s="266">
        <v>50000</v>
      </c>
      <c r="Q114" s="266">
        <f>+N114*P114</f>
        <v>500000</v>
      </c>
      <c r="R114" s="267">
        <f>IF(J114="","",Q114/M114)</f>
        <v>0.83333333333333337</v>
      </c>
      <c r="S114" s="266">
        <f>+IF(W114="DDS",Q114,0)</f>
        <v>0</v>
      </c>
      <c r="T114" s="266">
        <f>+IF(W114="ADD",Q114,0)</f>
        <v>0</v>
      </c>
      <c r="U114" s="266">
        <f>+IF(W114="DDS",0,IF(W114="ADD",0,Q114))</f>
        <v>500000</v>
      </c>
      <c r="V114" s="266">
        <v>0</v>
      </c>
      <c r="W114" s="115"/>
    </row>
    <row r="115" spans="1:23" ht="26.25" hidden="1" customHeight="1">
      <c r="A115" s="229" t="s">
        <v>362</v>
      </c>
      <c r="B115" s="229" t="s">
        <v>960</v>
      </c>
      <c r="C115" s="270" t="s">
        <v>1002</v>
      </c>
      <c r="D115" s="252" t="s">
        <v>363</v>
      </c>
      <c r="E115" s="252" t="s">
        <v>970</v>
      </c>
      <c r="F115" s="252" t="s">
        <v>997</v>
      </c>
      <c r="G115" s="252" t="s">
        <v>959</v>
      </c>
      <c r="H115" s="253" t="s">
        <v>136</v>
      </c>
      <c r="I115" s="238"/>
      <c r="J115" s="254"/>
      <c r="K115" s="255"/>
      <c r="L115" s="256"/>
      <c r="M115" s="257">
        <f>+SUM(M116:M124)</f>
        <v>6920000</v>
      </c>
      <c r="N115" s="266"/>
      <c r="O115" s="261"/>
      <c r="P115" s="266"/>
      <c r="Q115" s="257">
        <f>+SUM(Q116:Q124)</f>
        <v>5360000</v>
      </c>
      <c r="R115" s="267" t="str">
        <f t="shared" ref="R115:R120" si="28">IF(J115="","",Q115/M115)</f>
        <v/>
      </c>
      <c r="S115" s="257">
        <f>+SUM(S116:S124)</f>
        <v>0</v>
      </c>
      <c r="T115" s="257">
        <f>+SUM(T116:T124)</f>
        <v>0</v>
      </c>
      <c r="U115" s="257">
        <f>+SUM(U116:U124)</f>
        <v>5360000</v>
      </c>
      <c r="V115" s="257">
        <f>+SUM(V116:V124)</f>
        <v>0</v>
      </c>
      <c r="W115" s="115"/>
    </row>
    <row r="116" spans="1:23" ht="24" hidden="1" customHeight="1">
      <c r="A116" s="260" t="s">
        <v>362</v>
      </c>
      <c r="B116" s="260" t="s">
        <v>960</v>
      </c>
      <c r="C116" s="269" t="s">
        <v>1002</v>
      </c>
      <c r="D116" s="260" t="s">
        <v>363</v>
      </c>
      <c r="E116" s="260" t="s">
        <v>970</v>
      </c>
      <c r="F116" s="260" t="s">
        <v>997</v>
      </c>
      <c r="G116" s="260" t="s">
        <v>960</v>
      </c>
      <c r="H116" s="261" t="s">
        <v>246</v>
      </c>
      <c r="I116" s="238"/>
      <c r="J116" s="262"/>
      <c r="K116" s="263"/>
      <c r="L116" s="264"/>
      <c r="M116" s="265"/>
      <c r="N116" s="266">
        <v>0</v>
      </c>
      <c r="O116" s="261"/>
      <c r="P116" s="266">
        <v>0</v>
      </c>
      <c r="Q116" s="266">
        <f>+N116*P116</f>
        <v>0</v>
      </c>
      <c r="R116" s="267" t="str">
        <f t="shared" si="28"/>
        <v/>
      </c>
      <c r="S116" s="266">
        <f>+IF(W116="DDS",Q116,0)</f>
        <v>0</v>
      </c>
      <c r="T116" s="266">
        <f>+IF(W116="ADD",Q116,0)</f>
        <v>0</v>
      </c>
      <c r="U116" s="266">
        <f>+IF(W116="DDS",0,IF(W116="ADD",0,Q116))</f>
        <v>0</v>
      </c>
      <c r="V116" s="266">
        <v>0</v>
      </c>
      <c r="W116" s="115"/>
    </row>
    <row r="117" spans="1:23" s="114" customFormat="1" ht="21.75" hidden="1" customHeight="1">
      <c r="A117" s="260"/>
      <c r="B117" s="260"/>
      <c r="C117" s="260"/>
      <c r="D117" s="260"/>
      <c r="E117" s="260"/>
      <c r="F117" s="260"/>
      <c r="G117" s="260"/>
      <c r="H117" s="268" t="s">
        <v>1062</v>
      </c>
      <c r="I117" s="238"/>
      <c r="J117" s="262">
        <v>8</v>
      </c>
      <c r="K117" s="263" t="s">
        <v>1063</v>
      </c>
      <c r="L117" s="264">
        <v>60000</v>
      </c>
      <c r="M117" s="265">
        <f t="shared" ref="M117:M124" si="29">+J117*L117</f>
        <v>480000</v>
      </c>
      <c r="N117" s="266">
        <v>8</v>
      </c>
      <c r="O117" s="261" t="s">
        <v>1063</v>
      </c>
      <c r="P117" s="266">
        <v>60000</v>
      </c>
      <c r="Q117" s="266">
        <f>+N117*P117</f>
        <v>480000</v>
      </c>
      <c r="R117" s="267">
        <f t="shared" si="28"/>
        <v>1</v>
      </c>
      <c r="S117" s="266">
        <f>+IF(W117="DDS",Q117,0)</f>
        <v>0</v>
      </c>
      <c r="T117" s="266">
        <f>+IF(W117="ADD",Q117,0)</f>
        <v>0</v>
      </c>
      <c r="U117" s="266">
        <f>+IF(W117="DDS",0,IF(W117="ADD",0,Q117))</f>
        <v>480000</v>
      </c>
      <c r="V117" s="266">
        <v>0</v>
      </c>
      <c r="W117" s="115"/>
    </row>
    <row r="118" spans="1:23" s="114" customFormat="1" ht="21.75" hidden="1" customHeight="1">
      <c r="A118" s="260"/>
      <c r="B118" s="260"/>
      <c r="C118" s="260"/>
      <c r="D118" s="260"/>
      <c r="E118" s="260"/>
      <c r="F118" s="260"/>
      <c r="G118" s="260"/>
      <c r="H118" s="268" t="s">
        <v>1064</v>
      </c>
      <c r="I118" s="238"/>
      <c r="J118" s="262">
        <v>65</v>
      </c>
      <c r="K118" s="263" t="s">
        <v>1063</v>
      </c>
      <c r="L118" s="264">
        <v>50000</v>
      </c>
      <c r="M118" s="265">
        <f t="shared" si="29"/>
        <v>3250000</v>
      </c>
      <c r="N118" s="266">
        <v>65</v>
      </c>
      <c r="O118" s="261" t="s">
        <v>1063</v>
      </c>
      <c r="P118" s="266">
        <v>50000</v>
      </c>
      <c r="Q118" s="266">
        <f>+N118*P118</f>
        <v>3250000</v>
      </c>
      <c r="R118" s="267">
        <f t="shared" si="28"/>
        <v>1</v>
      </c>
      <c r="S118" s="266">
        <f>+IF(W118="DDS",Q118,0)</f>
        <v>0</v>
      </c>
      <c r="T118" s="266">
        <f>+IF(W118="ADD",Q118,0)</f>
        <v>0</v>
      </c>
      <c r="U118" s="266">
        <f>+IF(W118="DDS",0,IF(W118="ADD",0,Q118))</f>
        <v>3250000</v>
      </c>
      <c r="V118" s="266">
        <v>0</v>
      </c>
      <c r="W118" s="116"/>
    </row>
    <row r="119" spans="1:23" s="114" customFormat="1" ht="29.25" hidden="1" customHeight="1">
      <c r="A119" s="260"/>
      <c r="B119" s="260"/>
      <c r="C119" s="260"/>
      <c r="D119" s="260"/>
      <c r="E119" s="260"/>
      <c r="F119" s="260"/>
      <c r="G119" s="260"/>
      <c r="H119" s="268" t="s">
        <v>1065</v>
      </c>
      <c r="I119" s="238"/>
      <c r="J119" s="262">
        <v>6</v>
      </c>
      <c r="K119" s="263" t="s">
        <v>1063</v>
      </c>
      <c r="L119" s="264">
        <v>40000</v>
      </c>
      <c r="M119" s="265">
        <f t="shared" si="29"/>
        <v>240000</v>
      </c>
      <c r="N119" s="266">
        <v>6</v>
      </c>
      <c r="O119" s="261" t="s">
        <v>1066</v>
      </c>
      <c r="P119" s="266">
        <v>40000</v>
      </c>
      <c r="Q119" s="266">
        <f>+N119*P119</f>
        <v>240000</v>
      </c>
      <c r="R119" s="267">
        <f t="shared" si="28"/>
        <v>1</v>
      </c>
      <c r="S119" s="266">
        <f>+IF(W119="DDS",Q119,0)</f>
        <v>0</v>
      </c>
      <c r="T119" s="266">
        <f>+IF(W119="ADD",Q119,0)</f>
        <v>0</v>
      </c>
      <c r="U119" s="266">
        <f>+IF(W119="DDS",0,IF(W119="ADD",0,Q119))</f>
        <v>240000</v>
      </c>
      <c r="V119" s="266">
        <v>0</v>
      </c>
      <c r="W119" s="116"/>
    </row>
    <row r="120" spans="1:23" s="114" customFormat="1" ht="21.75" hidden="1" customHeight="1">
      <c r="A120" s="260"/>
      <c r="B120" s="260"/>
      <c r="C120" s="260"/>
      <c r="D120" s="260"/>
      <c r="E120" s="260"/>
      <c r="F120" s="260"/>
      <c r="G120" s="260"/>
      <c r="H120" s="268" t="s">
        <v>1067</v>
      </c>
      <c r="I120" s="238"/>
      <c r="J120" s="262">
        <v>30</v>
      </c>
      <c r="K120" s="263" t="s">
        <v>1063</v>
      </c>
      <c r="L120" s="264">
        <v>35000</v>
      </c>
      <c r="M120" s="265">
        <f t="shared" si="29"/>
        <v>1050000</v>
      </c>
      <c r="N120" s="266">
        <v>30</v>
      </c>
      <c r="O120" s="261" t="s">
        <v>1063</v>
      </c>
      <c r="P120" s="266">
        <v>35000</v>
      </c>
      <c r="Q120" s="266">
        <v>1030000</v>
      </c>
      <c r="R120" s="267">
        <f t="shared" si="28"/>
        <v>0.98095238095238091</v>
      </c>
      <c r="S120" s="266">
        <f>+IF(W120="DDS",Q120,0)</f>
        <v>0</v>
      </c>
      <c r="T120" s="266">
        <f>+IF(W120="ADD",Q120,0)</f>
        <v>0</v>
      </c>
      <c r="U120" s="266">
        <f>+IF(W120="DDS",0,IF(W120="ADD",0,Q120))</f>
        <v>1030000</v>
      </c>
      <c r="V120" s="266">
        <v>0</v>
      </c>
      <c r="W120" s="116"/>
    </row>
    <row r="121" spans="1:23" ht="19.5" hidden="1" customHeight="1">
      <c r="A121" s="260" t="s">
        <v>362</v>
      </c>
      <c r="B121" s="260" t="s">
        <v>960</v>
      </c>
      <c r="C121" s="269" t="s">
        <v>1002</v>
      </c>
      <c r="D121" s="260" t="s">
        <v>363</v>
      </c>
      <c r="E121" s="260" t="s">
        <v>970</v>
      </c>
      <c r="F121" s="260" t="s">
        <v>997</v>
      </c>
      <c r="G121" s="269" t="s">
        <v>963</v>
      </c>
      <c r="H121" s="261" t="s">
        <v>513</v>
      </c>
      <c r="I121" s="238"/>
      <c r="J121" s="262"/>
      <c r="K121" s="263"/>
      <c r="L121" s="264">
        <v>0</v>
      </c>
      <c r="M121" s="265">
        <f t="shared" si="29"/>
        <v>0</v>
      </c>
      <c r="N121" s="266"/>
      <c r="O121" s="261"/>
      <c r="P121" s="266"/>
      <c r="Q121" s="266"/>
      <c r="R121" s="267"/>
      <c r="S121" s="266"/>
      <c r="T121" s="266"/>
      <c r="U121" s="266"/>
      <c r="V121" s="266"/>
      <c r="W121" s="115"/>
    </row>
    <row r="122" spans="1:23" s="114" customFormat="1" ht="28.5" hidden="1" customHeight="1">
      <c r="A122" s="260"/>
      <c r="B122" s="260"/>
      <c r="C122" s="260"/>
      <c r="D122" s="260"/>
      <c r="E122" s="260"/>
      <c r="F122" s="260"/>
      <c r="G122" s="260"/>
      <c r="H122" s="268" t="s">
        <v>1068</v>
      </c>
      <c r="I122" s="238"/>
      <c r="J122" s="262">
        <v>5</v>
      </c>
      <c r="K122" s="263" t="s">
        <v>1069</v>
      </c>
      <c r="L122" s="264">
        <v>70000</v>
      </c>
      <c r="M122" s="265">
        <f t="shared" si="29"/>
        <v>350000</v>
      </c>
      <c r="N122" s="266">
        <v>0</v>
      </c>
      <c r="O122" s="261"/>
      <c r="P122" s="266">
        <v>0</v>
      </c>
      <c r="Q122" s="266">
        <f>+N122*P122</f>
        <v>0</v>
      </c>
      <c r="R122" s="267">
        <f>IF(J122="","",Q122/M122)</f>
        <v>0</v>
      </c>
      <c r="S122" s="266">
        <f>+IF(W122="DDS",Q122,0)</f>
        <v>0</v>
      </c>
      <c r="T122" s="266">
        <f>+IF(W122="ADD",Q122,0)</f>
        <v>0</v>
      </c>
      <c r="U122" s="266">
        <f>+IF(W122="DDS",0,IF(W122="ADD",0,Q122))</f>
        <v>0</v>
      </c>
      <c r="V122" s="266">
        <v>0</v>
      </c>
      <c r="W122" s="116"/>
    </row>
    <row r="123" spans="1:23" ht="20.25" hidden="1" customHeight="1">
      <c r="A123" s="260"/>
      <c r="B123" s="260"/>
      <c r="C123" s="260"/>
      <c r="D123" s="260"/>
      <c r="E123" s="260"/>
      <c r="F123" s="260"/>
      <c r="G123" s="260"/>
      <c r="H123" s="268" t="s">
        <v>1070</v>
      </c>
      <c r="I123" s="238"/>
      <c r="J123" s="262">
        <v>20</v>
      </c>
      <c r="K123" s="263" t="s">
        <v>1071</v>
      </c>
      <c r="L123" s="264">
        <v>60000</v>
      </c>
      <c r="M123" s="265">
        <f>+J123*L123</f>
        <v>1200000</v>
      </c>
      <c r="N123" s="266">
        <v>6</v>
      </c>
      <c r="O123" s="261" t="s">
        <v>1063</v>
      </c>
      <c r="P123" s="266">
        <v>60000</v>
      </c>
      <c r="Q123" s="266">
        <f>+N123*P123</f>
        <v>360000</v>
      </c>
      <c r="R123" s="267">
        <f>IF(J123="","",Q123/M123)</f>
        <v>0.3</v>
      </c>
      <c r="S123" s="266">
        <f>+IF(W123="DDS",Q123,0)</f>
        <v>0</v>
      </c>
      <c r="T123" s="266">
        <f>+IF(W123="ADD",Q123,0)</f>
        <v>0</v>
      </c>
      <c r="U123" s="266">
        <f>+IF(W123="DDS",0,IF(W123="ADD",0,Q123))</f>
        <v>360000</v>
      </c>
      <c r="V123" s="266">
        <v>0</v>
      </c>
      <c r="W123" s="115"/>
    </row>
    <row r="124" spans="1:23" ht="20.25" hidden="1" customHeight="1">
      <c r="A124" s="260"/>
      <c r="B124" s="260"/>
      <c r="C124" s="260"/>
      <c r="D124" s="260"/>
      <c r="E124" s="260"/>
      <c r="F124" s="260"/>
      <c r="G124" s="260"/>
      <c r="H124" s="268" t="s">
        <v>1072</v>
      </c>
      <c r="I124" s="238"/>
      <c r="J124" s="262">
        <v>7</v>
      </c>
      <c r="K124" s="263" t="s">
        <v>1071</v>
      </c>
      <c r="L124" s="264">
        <v>50000</v>
      </c>
      <c r="M124" s="265">
        <f t="shared" si="29"/>
        <v>350000</v>
      </c>
      <c r="N124" s="266">
        <v>0</v>
      </c>
      <c r="O124" s="261" t="s">
        <v>1063</v>
      </c>
      <c r="P124" s="266">
        <v>0</v>
      </c>
      <c r="Q124" s="266">
        <f>+N124*P124</f>
        <v>0</v>
      </c>
      <c r="R124" s="267">
        <f>IF(J124="","",Q124/M124)</f>
        <v>0</v>
      </c>
      <c r="S124" s="266">
        <f>+IF(W124="DDS",Q124,0)</f>
        <v>0</v>
      </c>
      <c r="T124" s="266">
        <f>+IF(W124="ADD",Q124,0)</f>
        <v>0</v>
      </c>
      <c r="U124" s="266">
        <f>+IF(W124="DDS",0,IF(W124="ADD",0,Q124))</f>
        <v>0</v>
      </c>
      <c r="V124" s="266">
        <v>0</v>
      </c>
      <c r="W124" s="115"/>
    </row>
    <row r="125" spans="1:23" ht="27.75" hidden="1" customHeight="1">
      <c r="A125" s="260" t="s">
        <v>362</v>
      </c>
      <c r="B125" s="260" t="s">
        <v>960</v>
      </c>
      <c r="C125" s="269" t="s">
        <v>1002</v>
      </c>
      <c r="D125" s="252" t="s">
        <v>363</v>
      </c>
      <c r="E125" s="252" t="s">
        <v>970</v>
      </c>
      <c r="F125" s="252" t="s">
        <v>363</v>
      </c>
      <c r="G125" s="252" t="s">
        <v>959</v>
      </c>
      <c r="H125" s="253" t="s">
        <v>138</v>
      </c>
      <c r="I125" s="238"/>
      <c r="J125" s="254"/>
      <c r="K125" s="255"/>
      <c r="L125" s="256"/>
      <c r="M125" s="257">
        <f>+SUM(M126:M130)</f>
        <v>10568898</v>
      </c>
      <c r="N125" s="266"/>
      <c r="O125" s="261"/>
      <c r="P125" s="266"/>
      <c r="Q125" s="257">
        <f>SUM(Q126:Q131)</f>
        <v>5645456</v>
      </c>
      <c r="R125" s="267"/>
      <c r="S125" s="257">
        <f>+SUM(S126:S130)</f>
        <v>0</v>
      </c>
      <c r="T125" s="257">
        <f>+SUM(T126:T130)</f>
        <v>0</v>
      </c>
      <c r="U125" s="257">
        <f>+SUM(U126:U131)</f>
        <v>5645456</v>
      </c>
      <c r="V125" s="257">
        <f>+SUM(V126:V130)</f>
        <v>0</v>
      </c>
      <c r="W125" s="115"/>
    </row>
    <row r="126" spans="1:23" ht="27.75" hidden="1" customHeight="1">
      <c r="A126" s="260" t="s">
        <v>362</v>
      </c>
      <c r="B126" s="260" t="s">
        <v>960</v>
      </c>
      <c r="C126" s="269" t="s">
        <v>1002</v>
      </c>
      <c r="D126" s="260" t="s">
        <v>363</v>
      </c>
      <c r="E126" s="260" t="s">
        <v>970</v>
      </c>
      <c r="F126" s="260" t="s">
        <v>363</v>
      </c>
      <c r="G126" s="260" t="s">
        <v>960</v>
      </c>
      <c r="H126" s="261" t="s">
        <v>247</v>
      </c>
      <c r="I126" s="238"/>
      <c r="J126" s="262">
        <v>12</v>
      </c>
      <c r="K126" s="263" t="s">
        <v>1073</v>
      </c>
      <c r="L126" s="264">
        <v>205000</v>
      </c>
      <c r="M126" s="265">
        <f>+J126*L126</f>
        <v>2460000</v>
      </c>
      <c r="N126" s="266">
        <v>12</v>
      </c>
      <c r="O126" s="261" t="s">
        <v>1074</v>
      </c>
      <c r="P126" s="266">
        <v>203500</v>
      </c>
      <c r="Q126" s="266">
        <f>+N126*P126</f>
        <v>2442000</v>
      </c>
      <c r="R126" s="267">
        <f t="shared" ref="R126:R131" si="30">IF(J126="","",Q126/M126)</f>
        <v>0.99268292682926829</v>
      </c>
      <c r="S126" s="266">
        <f t="shared" ref="S126:S131" si="31">+IF(W126="DDS",Q126,0)</f>
        <v>0</v>
      </c>
      <c r="T126" s="266">
        <f t="shared" ref="T126:T131" si="32">+IF(W126="ADD",Q126,0)</f>
        <v>0</v>
      </c>
      <c r="U126" s="266">
        <f t="shared" ref="U126:U131" si="33">+IF(W126="DDS",0,IF(W126="ADD",0,Q126))</f>
        <v>2442000</v>
      </c>
      <c r="V126" s="266">
        <v>0</v>
      </c>
      <c r="W126" s="115"/>
    </row>
    <row r="127" spans="1:23" ht="20.25" hidden="1" customHeight="1">
      <c r="A127" s="260" t="s">
        <v>362</v>
      </c>
      <c r="B127" s="260" t="s">
        <v>960</v>
      </c>
      <c r="C127" s="269" t="s">
        <v>1002</v>
      </c>
      <c r="D127" s="260" t="s">
        <v>363</v>
      </c>
      <c r="E127" s="260" t="s">
        <v>970</v>
      </c>
      <c r="F127" s="260" t="s">
        <v>363</v>
      </c>
      <c r="G127" s="260" t="s">
        <v>963</v>
      </c>
      <c r="H127" s="261" t="s">
        <v>1075</v>
      </c>
      <c r="I127" s="238"/>
      <c r="J127" s="262">
        <v>12</v>
      </c>
      <c r="K127" s="263" t="s">
        <v>1073</v>
      </c>
      <c r="L127" s="264">
        <v>150000</v>
      </c>
      <c r="M127" s="265">
        <f>+J127*L127</f>
        <v>1800000</v>
      </c>
      <c r="N127" s="266">
        <v>12</v>
      </c>
      <c r="O127" s="261" t="s">
        <v>1074</v>
      </c>
      <c r="P127" s="266">
        <v>70270</v>
      </c>
      <c r="Q127" s="266">
        <f>868470+363540</f>
        <v>1232010</v>
      </c>
      <c r="R127" s="267">
        <f t="shared" si="30"/>
        <v>0.68445</v>
      </c>
      <c r="S127" s="266">
        <f t="shared" si="31"/>
        <v>0</v>
      </c>
      <c r="T127" s="266">
        <f t="shared" si="32"/>
        <v>0</v>
      </c>
      <c r="U127" s="266">
        <f t="shared" si="33"/>
        <v>1232010</v>
      </c>
      <c r="V127" s="266">
        <v>0</v>
      </c>
      <c r="W127" s="115"/>
    </row>
    <row r="128" spans="1:23" ht="30" hidden="1" customHeight="1">
      <c r="A128" s="260" t="s">
        <v>362</v>
      </c>
      <c r="B128" s="260" t="s">
        <v>960</v>
      </c>
      <c r="C128" s="269" t="s">
        <v>1002</v>
      </c>
      <c r="D128" s="260" t="s">
        <v>363</v>
      </c>
      <c r="E128" s="260" t="s">
        <v>970</v>
      </c>
      <c r="F128" s="260" t="s">
        <v>363</v>
      </c>
      <c r="G128" s="260" t="s">
        <v>1076</v>
      </c>
      <c r="H128" s="261" t="s">
        <v>1077</v>
      </c>
      <c r="I128" s="238"/>
      <c r="J128" s="262"/>
      <c r="K128" s="263"/>
      <c r="L128" s="264"/>
      <c r="M128" s="265"/>
      <c r="N128" s="266">
        <v>0</v>
      </c>
      <c r="O128" s="261"/>
      <c r="P128" s="266">
        <v>0</v>
      </c>
      <c r="Q128" s="266">
        <f>+N128*P128</f>
        <v>0</v>
      </c>
      <c r="R128" s="267" t="str">
        <f t="shared" si="30"/>
        <v/>
      </c>
      <c r="S128" s="266">
        <f t="shared" si="31"/>
        <v>0</v>
      </c>
      <c r="T128" s="266">
        <f t="shared" si="32"/>
        <v>0</v>
      </c>
      <c r="U128" s="266">
        <f t="shared" si="33"/>
        <v>0</v>
      </c>
      <c r="V128" s="266">
        <v>0</v>
      </c>
      <c r="W128" s="115"/>
    </row>
    <row r="129" spans="1:23" ht="21" hidden="1" customHeight="1">
      <c r="A129" s="260"/>
      <c r="B129" s="260"/>
      <c r="C129" s="269"/>
      <c r="D129" s="260"/>
      <c r="E129" s="260"/>
      <c r="F129" s="260"/>
      <c r="G129" s="260"/>
      <c r="H129" s="268" t="s">
        <v>1078</v>
      </c>
      <c r="I129" s="238"/>
      <c r="J129" s="262">
        <v>1</v>
      </c>
      <c r="K129" s="263" t="s">
        <v>1029</v>
      </c>
      <c r="L129" s="264">
        <v>5708898</v>
      </c>
      <c r="M129" s="265">
        <f>+J129*L129</f>
        <v>5708898</v>
      </c>
      <c r="N129" s="266">
        <v>1</v>
      </c>
      <c r="O129" s="261" t="s">
        <v>1034</v>
      </c>
      <c r="P129" s="266">
        <f>67646+3523+148909+147904+179010+125162+27250+131660+23719+9229</f>
        <v>864012</v>
      </c>
      <c r="Q129" s="266">
        <f>+N129*P129</f>
        <v>864012</v>
      </c>
      <c r="R129" s="267">
        <f t="shared" si="30"/>
        <v>0.15134479544038096</v>
      </c>
      <c r="S129" s="266">
        <f t="shared" si="31"/>
        <v>0</v>
      </c>
      <c r="T129" s="266">
        <f t="shared" si="32"/>
        <v>0</v>
      </c>
      <c r="U129" s="266">
        <f t="shared" si="33"/>
        <v>864012</v>
      </c>
      <c r="V129" s="266">
        <v>0</v>
      </c>
      <c r="W129" s="115"/>
    </row>
    <row r="130" spans="1:23" s="114" customFormat="1" ht="24.75" hidden="1" customHeight="1">
      <c r="A130" s="260"/>
      <c r="B130" s="260"/>
      <c r="C130" s="269"/>
      <c r="D130" s="260"/>
      <c r="E130" s="260"/>
      <c r="F130" s="260"/>
      <c r="G130" s="260"/>
      <c r="H130" s="268" t="s">
        <v>1079</v>
      </c>
      <c r="I130" s="238"/>
      <c r="J130" s="262">
        <v>12</v>
      </c>
      <c r="K130" s="263" t="s">
        <v>1074</v>
      </c>
      <c r="L130" s="264">
        <v>50000</v>
      </c>
      <c r="M130" s="265">
        <f>+J130*L130</f>
        <v>600000</v>
      </c>
      <c r="N130" s="266">
        <v>12</v>
      </c>
      <c r="O130" s="261" t="s">
        <v>1074</v>
      </c>
      <c r="P130" s="266">
        <v>50000</v>
      </c>
      <c r="Q130" s="266">
        <f>+N130*P130</f>
        <v>600000</v>
      </c>
      <c r="R130" s="267">
        <f t="shared" si="30"/>
        <v>1</v>
      </c>
      <c r="S130" s="266">
        <f t="shared" si="31"/>
        <v>0</v>
      </c>
      <c r="T130" s="266">
        <f t="shared" si="32"/>
        <v>0</v>
      </c>
      <c r="U130" s="266">
        <f t="shared" si="33"/>
        <v>600000</v>
      </c>
      <c r="V130" s="266">
        <v>0</v>
      </c>
      <c r="W130" s="115"/>
    </row>
    <row r="131" spans="1:23" s="114" customFormat="1" ht="21" hidden="1" customHeight="1">
      <c r="A131" s="252"/>
      <c r="B131" s="252"/>
      <c r="C131" s="252"/>
      <c r="D131" s="260"/>
      <c r="E131" s="260"/>
      <c r="F131" s="260"/>
      <c r="G131" s="260"/>
      <c r="H131" s="268" t="s">
        <v>1080</v>
      </c>
      <c r="I131" s="238"/>
      <c r="J131" s="262">
        <v>1</v>
      </c>
      <c r="K131" s="263" t="s">
        <v>1029</v>
      </c>
      <c r="L131" s="264">
        <v>500000</v>
      </c>
      <c r="M131" s="265">
        <f>+J131*L131</f>
        <v>500000</v>
      </c>
      <c r="N131" s="266">
        <v>1</v>
      </c>
      <c r="O131" s="261" t="s">
        <v>1029</v>
      </c>
      <c r="P131" s="266">
        <f>80088+27248+27200+23700+183822+3500+8600+7500+7500+150+138126</f>
        <v>507434</v>
      </c>
      <c r="Q131" s="266">
        <f>+N131*P131</f>
        <v>507434</v>
      </c>
      <c r="R131" s="267">
        <f t="shared" si="30"/>
        <v>1.0148680000000001</v>
      </c>
      <c r="S131" s="266">
        <f t="shared" si="31"/>
        <v>0</v>
      </c>
      <c r="T131" s="266">
        <f t="shared" si="32"/>
        <v>0</v>
      </c>
      <c r="U131" s="266">
        <f t="shared" si="33"/>
        <v>507434</v>
      </c>
      <c r="V131" s="266">
        <v>0</v>
      </c>
      <c r="W131" s="116"/>
    </row>
    <row r="132" spans="1:23" ht="21" customHeight="1">
      <c r="A132" s="229">
        <v>1</v>
      </c>
      <c r="B132" s="270" t="s">
        <v>960</v>
      </c>
      <c r="C132" s="270" t="s">
        <v>1038</v>
      </c>
      <c r="D132" s="229"/>
      <c r="E132" s="229"/>
      <c r="F132" s="229"/>
      <c r="G132" s="229"/>
      <c r="H132" s="238" t="s">
        <v>357</v>
      </c>
      <c r="I132" s="238" t="s">
        <v>1081</v>
      </c>
      <c r="J132" s="239"/>
      <c r="K132" s="240">
        <v>12</v>
      </c>
      <c r="L132" s="241" t="s">
        <v>1073</v>
      </c>
      <c r="M132" s="234">
        <f>+M133</f>
        <v>61047780</v>
      </c>
      <c r="N132" s="242"/>
      <c r="O132" s="240">
        <v>12</v>
      </c>
      <c r="P132" s="241" t="s">
        <v>1073</v>
      </c>
      <c r="Q132" s="234">
        <f>+Q133</f>
        <v>60492245</v>
      </c>
      <c r="R132" s="236">
        <f>Q132/M132*100%</f>
        <v>0.99089999669111639</v>
      </c>
      <c r="S132" s="234">
        <f t="shared" ref="S132:V133" si="34">+S133</f>
        <v>0</v>
      </c>
      <c r="T132" s="234">
        <f t="shared" si="34"/>
        <v>0</v>
      </c>
      <c r="U132" s="234">
        <f t="shared" si="34"/>
        <v>60492245</v>
      </c>
      <c r="V132" s="234">
        <f t="shared" si="34"/>
        <v>0</v>
      </c>
      <c r="W132" s="115"/>
    </row>
    <row r="133" spans="1:23" s="114" customFormat="1" ht="21" hidden="1" customHeight="1">
      <c r="A133" s="260">
        <v>1</v>
      </c>
      <c r="B133" s="269" t="s">
        <v>960</v>
      </c>
      <c r="C133" s="269" t="s">
        <v>1038</v>
      </c>
      <c r="D133" s="244" t="s">
        <v>363</v>
      </c>
      <c r="E133" s="244" t="s">
        <v>362</v>
      </c>
      <c r="F133" s="244" t="s">
        <v>959</v>
      </c>
      <c r="G133" s="244" t="s">
        <v>959</v>
      </c>
      <c r="H133" s="245" t="s">
        <v>1082</v>
      </c>
      <c r="I133" s="238"/>
      <c r="J133" s="246"/>
      <c r="K133" s="247"/>
      <c r="L133" s="248"/>
      <c r="M133" s="249">
        <f>+M134</f>
        <v>61047780</v>
      </c>
      <c r="N133" s="266"/>
      <c r="O133" s="261"/>
      <c r="P133" s="266"/>
      <c r="Q133" s="249">
        <f>+Q134</f>
        <v>60492245</v>
      </c>
      <c r="R133" s="267"/>
      <c r="S133" s="249">
        <f t="shared" si="34"/>
        <v>0</v>
      </c>
      <c r="T133" s="249">
        <f t="shared" si="34"/>
        <v>0</v>
      </c>
      <c r="U133" s="249">
        <f t="shared" si="34"/>
        <v>60492245</v>
      </c>
      <c r="V133" s="249">
        <f t="shared" si="34"/>
        <v>0</v>
      </c>
      <c r="W133" s="116"/>
    </row>
    <row r="134" spans="1:23" ht="21" hidden="1" customHeight="1">
      <c r="A134" s="260">
        <v>1</v>
      </c>
      <c r="B134" s="269" t="s">
        <v>960</v>
      </c>
      <c r="C134" s="269" t="s">
        <v>1038</v>
      </c>
      <c r="D134" s="252" t="s">
        <v>363</v>
      </c>
      <c r="E134" s="252" t="s">
        <v>362</v>
      </c>
      <c r="F134" s="252" t="s">
        <v>1083</v>
      </c>
      <c r="G134" s="252" t="s">
        <v>959</v>
      </c>
      <c r="H134" s="253" t="s">
        <v>131</v>
      </c>
      <c r="I134" s="238"/>
      <c r="J134" s="254"/>
      <c r="K134" s="255"/>
      <c r="L134" s="256"/>
      <c r="M134" s="257">
        <f>+SUM(M135:M138)</f>
        <v>61047780</v>
      </c>
      <c r="N134" s="266"/>
      <c r="O134" s="261"/>
      <c r="P134" s="266"/>
      <c r="Q134" s="257">
        <f>+SUM(Q135:Q138)</f>
        <v>60492245</v>
      </c>
      <c r="R134" s="267"/>
      <c r="S134" s="257">
        <f>+SUM(S135:S138)</f>
        <v>0</v>
      </c>
      <c r="T134" s="257">
        <f>+SUM(T135:T138)</f>
        <v>0</v>
      </c>
      <c r="U134" s="257">
        <f>+SUM(U135:U138)</f>
        <v>60492245</v>
      </c>
      <c r="V134" s="257">
        <f>+SUM(V135:V138)</f>
        <v>0</v>
      </c>
      <c r="W134" s="115"/>
    </row>
    <row r="135" spans="1:23" s="114" customFormat="1" ht="21" hidden="1" customHeight="1">
      <c r="A135" s="260">
        <v>1</v>
      </c>
      <c r="B135" s="269" t="s">
        <v>960</v>
      </c>
      <c r="C135" s="269" t="s">
        <v>1038</v>
      </c>
      <c r="D135" s="260" t="s">
        <v>363</v>
      </c>
      <c r="E135" s="260" t="s">
        <v>362</v>
      </c>
      <c r="F135" s="260" t="s">
        <v>1083</v>
      </c>
      <c r="G135" s="260" t="s">
        <v>960</v>
      </c>
      <c r="H135" s="261" t="s">
        <v>1084</v>
      </c>
      <c r="I135" s="238"/>
      <c r="J135" s="262"/>
      <c r="K135" s="263"/>
      <c r="L135" s="264"/>
      <c r="M135" s="265"/>
      <c r="N135" s="266"/>
      <c r="O135" s="261"/>
      <c r="P135" s="266"/>
      <c r="Q135" s="266"/>
      <c r="R135" s="267"/>
      <c r="S135" s="266"/>
      <c r="T135" s="266"/>
      <c r="U135" s="266"/>
      <c r="V135" s="266"/>
      <c r="W135" s="116"/>
    </row>
    <row r="136" spans="1:23" ht="21" hidden="1" customHeight="1">
      <c r="A136" s="252"/>
      <c r="B136" s="252"/>
      <c r="C136" s="252"/>
      <c r="D136" s="260"/>
      <c r="E136" s="260"/>
      <c r="F136" s="260"/>
      <c r="G136" s="260"/>
      <c r="H136" s="268" t="s">
        <v>1085</v>
      </c>
      <c r="I136" s="238"/>
      <c r="J136" s="262">
        <v>12</v>
      </c>
      <c r="K136" s="263" t="s">
        <v>966</v>
      </c>
      <c r="L136" s="264">
        <v>4650000</v>
      </c>
      <c r="M136" s="265">
        <f>+J136*L136</f>
        <v>55800000</v>
      </c>
      <c r="N136" s="266">
        <v>12</v>
      </c>
      <c r="O136" s="261" t="s">
        <v>966</v>
      </c>
      <c r="P136" s="266">
        <v>4650000</v>
      </c>
      <c r="Q136" s="266">
        <v>55250000</v>
      </c>
      <c r="R136" s="267">
        <f>IF(J136="","",Q136/M136)</f>
        <v>0.99014336917562729</v>
      </c>
      <c r="S136" s="266">
        <f>+IF(W136="DDS",Q136,0)</f>
        <v>0</v>
      </c>
      <c r="T136" s="266">
        <f>+IF(W136="ADD",Q136,0)</f>
        <v>0</v>
      </c>
      <c r="U136" s="266">
        <f>+IF(W136="DDS",0,IF(W136="ADD",0,Q136))</f>
        <v>55250000</v>
      </c>
      <c r="V136" s="266">
        <v>0</v>
      </c>
      <c r="W136" s="115"/>
    </row>
    <row r="137" spans="1:23" ht="12" hidden="1" customHeight="1">
      <c r="A137" s="260"/>
      <c r="B137" s="260"/>
      <c r="C137" s="260"/>
      <c r="D137" s="260"/>
      <c r="E137" s="260"/>
      <c r="F137" s="260"/>
      <c r="G137" s="260"/>
      <c r="H137" s="268" t="s">
        <v>1086</v>
      </c>
      <c r="I137" s="238"/>
      <c r="J137" s="262">
        <v>1</v>
      </c>
      <c r="K137" s="263" t="s">
        <v>966</v>
      </c>
      <c r="L137" s="264">
        <v>4650000</v>
      </c>
      <c r="M137" s="265">
        <f>+J137*L137</f>
        <v>4650000</v>
      </c>
      <c r="N137" s="266">
        <v>1</v>
      </c>
      <c r="O137" s="261" t="s">
        <v>966</v>
      </c>
      <c r="P137" s="266">
        <v>4650000</v>
      </c>
      <c r="Q137" s="266">
        <f>+N137*P137</f>
        <v>4650000</v>
      </c>
      <c r="R137" s="267">
        <f>IF(J137="","",Q137/M137)</f>
        <v>1</v>
      </c>
      <c r="S137" s="266">
        <f>+IF(W137="DDS",Q137,0)</f>
        <v>0</v>
      </c>
      <c r="T137" s="266">
        <f>+IF(W137="ADD",Q137,0)</f>
        <v>0</v>
      </c>
      <c r="U137" s="266">
        <f>+IF(W137="DDS",0,IF(W137="ADD",0,Q137))</f>
        <v>4650000</v>
      </c>
      <c r="V137" s="266">
        <v>0</v>
      </c>
      <c r="W137" s="115"/>
    </row>
    <row r="138" spans="1:23" ht="19.5" hidden="1" customHeight="1">
      <c r="A138" s="260">
        <v>1</v>
      </c>
      <c r="B138" s="269" t="s">
        <v>960</v>
      </c>
      <c r="C138" s="269" t="s">
        <v>1038</v>
      </c>
      <c r="D138" s="260">
        <v>5</v>
      </c>
      <c r="E138" s="269">
        <v>2</v>
      </c>
      <c r="F138" s="269">
        <v>5</v>
      </c>
      <c r="G138" s="260">
        <v>99</v>
      </c>
      <c r="H138" s="261" t="s">
        <v>1087</v>
      </c>
      <c r="I138" s="238"/>
      <c r="J138" s="262">
        <v>108</v>
      </c>
      <c r="K138" s="263" t="s">
        <v>966</v>
      </c>
      <c r="L138" s="264">
        <v>5535</v>
      </c>
      <c r="M138" s="265">
        <f>+J138*L138</f>
        <v>597780</v>
      </c>
      <c r="N138" s="266">
        <f>9*12</f>
        <v>108</v>
      </c>
      <c r="O138" s="261" t="s">
        <v>966</v>
      </c>
      <c r="P138" s="266">
        <v>5535</v>
      </c>
      <c r="Q138" s="266">
        <v>592245</v>
      </c>
      <c r="R138" s="267">
        <f>IF(J138="","",Q138/M138)</f>
        <v>0.9907407407407407</v>
      </c>
      <c r="S138" s="266">
        <f>+IF(W138="DDS",Q138,0)</f>
        <v>0</v>
      </c>
      <c r="T138" s="266">
        <f>+IF(W138="ADD",Q138,0)</f>
        <v>0</v>
      </c>
      <c r="U138" s="266">
        <f>+IF(W138="DDS",0,IF(W138="ADD",0,Q138))</f>
        <v>592245</v>
      </c>
      <c r="V138" s="266">
        <v>0</v>
      </c>
      <c r="W138" s="115"/>
    </row>
    <row r="139" spans="1:23" ht="30.75" customHeight="1">
      <c r="A139" s="229" t="s">
        <v>362</v>
      </c>
      <c r="B139" s="229" t="s">
        <v>960</v>
      </c>
      <c r="C139" s="229" t="s">
        <v>1040</v>
      </c>
      <c r="D139" s="229"/>
      <c r="E139" s="229"/>
      <c r="F139" s="229"/>
      <c r="G139" s="229" t="s">
        <v>959</v>
      </c>
      <c r="H139" s="238" t="s">
        <v>1088</v>
      </c>
      <c r="I139" s="238" t="s">
        <v>1089</v>
      </c>
      <c r="J139" s="239"/>
      <c r="K139" s="240">
        <v>12</v>
      </c>
      <c r="L139" s="241" t="s">
        <v>1073</v>
      </c>
      <c r="M139" s="234">
        <f>+M140</f>
        <v>4695000</v>
      </c>
      <c r="N139" s="266"/>
      <c r="O139" s="240">
        <v>12</v>
      </c>
      <c r="P139" s="241" t="s">
        <v>1073</v>
      </c>
      <c r="Q139" s="234">
        <f>+Q140</f>
        <v>4635000</v>
      </c>
      <c r="R139" s="236">
        <f>Q139/M139*100%</f>
        <v>0.98722044728434499</v>
      </c>
      <c r="S139" s="234">
        <f>+S140</f>
        <v>0</v>
      </c>
      <c r="T139" s="234">
        <f>+T140</f>
        <v>0</v>
      </c>
      <c r="U139" s="234">
        <f>+U140</f>
        <v>6975000</v>
      </c>
      <c r="V139" s="234">
        <f>+V140</f>
        <v>0</v>
      </c>
    </row>
    <row r="140" spans="1:23" ht="15" hidden="1" customHeight="1">
      <c r="A140" s="260" t="s">
        <v>362</v>
      </c>
      <c r="B140" s="260" t="s">
        <v>960</v>
      </c>
      <c r="C140" s="260" t="s">
        <v>1040</v>
      </c>
      <c r="D140" s="244" t="s">
        <v>363</v>
      </c>
      <c r="E140" s="244" t="s">
        <v>970</v>
      </c>
      <c r="F140" s="244" t="s">
        <v>959</v>
      </c>
      <c r="G140" s="244" t="s">
        <v>959</v>
      </c>
      <c r="H140" s="245" t="s">
        <v>1026</v>
      </c>
      <c r="I140" s="238"/>
      <c r="J140" s="246"/>
      <c r="K140" s="247"/>
      <c r="L140" s="248"/>
      <c r="M140" s="249">
        <f>+M141+M147+M144</f>
        <v>4695000</v>
      </c>
      <c r="N140" s="266"/>
      <c r="O140" s="263"/>
      <c r="P140" s="266"/>
      <c r="Q140" s="249">
        <f>+Q141+Q147+Q144</f>
        <v>4635000</v>
      </c>
      <c r="R140" s="267"/>
      <c r="S140" s="249">
        <f>+S141+S147+S144</f>
        <v>0</v>
      </c>
      <c r="T140" s="249">
        <f>+T141+T147+T144</f>
        <v>0</v>
      </c>
      <c r="U140" s="249">
        <f>+U141+U147+U144</f>
        <v>6975000</v>
      </c>
      <c r="V140" s="249">
        <f>+V141+V147+V144</f>
        <v>0</v>
      </c>
    </row>
    <row r="141" spans="1:23" ht="15" hidden="1" customHeight="1">
      <c r="A141" s="260" t="s">
        <v>362</v>
      </c>
      <c r="B141" s="260" t="s">
        <v>960</v>
      </c>
      <c r="C141" s="260" t="s">
        <v>1040</v>
      </c>
      <c r="D141" s="252" t="s">
        <v>363</v>
      </c>
      <c r="E141" s="252" t="s">
        <v>970</v>
      </c>
      <c r="F141" s="252" t="s">
        <v>362</v>
      </c>
      <c r="G141" s="252" t="s">
        <v>959</v>
      </c>
      <c r="H141" s="253" t="s">
        <v>134</v>
      </c>
      <c r="I141" s="238"/>
      <c r="J141" s="254"/>
      <c r="K141" s="255"/>
      <c r="L141" s="256"/>
      <c r="M141" s="257">
        <f>+SUM(M142:M143)</f>
        <v>735000</v>
      </c>
      <c r="N141" s="242"/>
      <c r="O141" s="238"/>
      <c r="P141" s="242"/>
      <c r="Q141" s="257">
        <f>+SUM(Q142:Q143)</f>
        <v>735000</v>
      </c>
      <c r="R141" s="243" t="str">
        <f>IF(J141="","",Q141/M141)</f>
        <v/>
      </c>
      <c r="S141" s="257">
        <f>+SUM(S142:S145)</f>
        <v>0</v>
      </c>
      <c r="T141" s="257">
        <f>+SUM(T142:T143)</f>
        <v>0</v>
      </c>
      <c r="U141" s="257">
        <f>+SUM(U142:U145)</f>
        <v>3075000</v>
      </c>
      <c r="V141" s="257">
        <f>+SUM(V142:V145)</f>
        <v>0</v>
      </c>
    </row>
    <row r="142" spans="1:23" ht="15" hidden="1" customHeight="1">
      <c r="A142" s="260" t="s">
        <v>362</v>
      </c>
      <c r="B142" s="260" t="s">
        <v>960</v>
      </c>
      <c r="C142" s="260" t="s">
        <v>1040</v>
      </c>
      <c r="D142" s="260" t="s">
        <v>363</v>
      </c>
      <c r="E142" s="260" t="s">
        <v>970</v>
      </c>
      <c r="F142" s="260" t="s">
        <v>362</v>
      </c>
      <c r="G142" s="260" t="s">
        <v>960</v>
      </c>
      <c r="H142" s="261" t="s">
        <v>1027</v>
      </c>
      <c r="I142" s="238"/>
      <c r="J142" s="262">
        <v>1</v>
      </c>
      <c r="K142" s="263" t="s">
        <v>1029</v>
      </c>
      <c r="L142" s="264">
        <v>435000</v>
      </c>
      <c r="M142" s="265">
        <f>+J142*L142</f>
        <v>435000</v>
      </c>
      <c r="N142" s="266">
        <v>1</v>
      </c>
      <c r="O142" s="261" t="s">
        <v>1029</v>
      </c>
      <c r="P142" s="266">
        <f>325000+110000</f>
        <v>435000</v>
      </c>
      <c r="Q142" s="266">
        <f>+N142*P142</f>
        <v>435000</v>
      </c>
      <c r="R142" s="267">
        <f>IF(J142="","",Q142/M142)</f>
        <v>1</v>
      </c>
      <c r="S142" s="266">
        <f>+IF(W142="DDS",Q142,0)</f>
        <v>0</v>
      </c>
      <c r="T142" s="266">
        <f>+IF(W142="ADD",Q142,0)</f>
        <v>0</v>
      </c>
      <c r="U142" s="266">
        <f>+IF(W142="DDS",0,IF(W142="ADD",0,Q142))</f>
        <v>435000</v>
      </c>
      <c r="V142" s="266">
        <v>0</v>
      </c>
    </row>
    <row r="143" spans="1:23" ht="15" hidden="1" customHeight="1">
      <c r="A143" s="260" t="s">
        <v>362</v>
      </c>
      <c r="B143" s="260" t="s">
        <v>960</v>
      </c>
      <c r="C143" s="260" t="s">
        <v>1040</v>
      </c>
      <c r="D143" s="260" t="s">
        <v>363</v>
      </c>
      <c r="E143" s="260" t="s">
        <v>970</v>
      </c>
      <c r="F143" s="260" t="s">
        <v>362</v>
      </c>
      <c r="G143" s="260" t="s">
        <v>1038</v>
      </c>
      <c r="H143" s="261" t="s">
        <v>1090</v>
      </c>
      <c r="I143" s="238"/>
      <c r="J143" s="262">
        <v>1</v>
      </c>
      <c r="K143" s="263" t="s">
        <v>1029</v>
      </c>
      <c r="L143" s="264">
        <v>300000</v>
      </c>
      <c r="M143" s="265">
        <f>+J143*L143</f>
        <v>300000</v>
      </c>
      <c r="N143" s="262">
        <v>1</v>
      </c>
      <c r="O143" s="263" t="s">
        <v>1029</v>
      </c>
      <c r="P143" s="264">
        <v>300000</v>
      </c>
      <c r="Q143" s="266">
        <f>+N143*P143</f>
        <v>300000</v>
      </c>
      <c r="R143" s="267">
        <f>IF(J143="","",Q143/M143)</f>
        <v>1</v>
      </c>
      <c r="S143" s="266">
        <f>+IF(W143="DDS",Q143,0)</f>
        <v>0</v>
      </c>
      <c r="T143" s="266">
        <f>+IF(W143="ADD",Q143,0)</f>
        <v>0</v>
      </c>
      <c r="U143" s="266">
        <f>+IF(W143="DDS",0,IF(W143="ADD",0,Q143))</f>
        <v>300000</v>
      </c>
      <c r="V143" s="266">
        <v>0</v>
      </c>
    </row>
    <row r="144" spans="1:23" ht="15" hidden="1" customHeight="1">
      <c r="A144" s="260" t="s">
        <v>362</v>
      </c>
      <c r="B144" s="260" t="s">
        <v>960</v>
      </c>
      <c r="C144" s="260" t="s">
        <v>1040</v>
      </c>
      <c r="D144" s="260" t="s">
        <v>363</v>
      </c>
      <c r="E144" s="260" t="s">
        <v>970</v>
      </c>
      <c r="F144" s="260" t="s">
        <v>362</v>
      </c>
      <c r="G144" s="260" t="s">
        <v>1040</v>
      </c>
      <c r="H144" s="261" t="s">
        <v>252</v>
      </c>
      <c r="I144" s="238"/>
      <c r="J144" s="262"/>
      <c r="K144" s="263"/>
      <c r="L144" s="264"/>
      <c r="M144" s="257">
        <f>+SUM(M145:M146)</f>
        <v>1800000</v>
      </c>
      <c r="N144" s="266"/>
      <c r="O144" s="263"/>
      <c r="P144" s="266"/>
      <c r="Q144" s="257">
        <f>+SUM(Q145:Q146)</f>
        <v>1800000</v>
      </c>
      <c r="R144" s="267"/>
      <c r="S144" s="257">
        <f>+SUM(S145:S146)</f>
        <v>0</v>
      </c>
      <c r="T144" s="257">
        <f>+SUM(T145:T146)</f>
        <v>0</v>
      </c>
      <c r="U144" s="257">
        <f>+SUM(U145:U146)</f>
        <v>1800000</v>
      </c>
      <c r="V144" s="257">
        <f>+SUM(V145:V146)</f>
        <v>0</v>
      </c>
    </row>
    <row r="145" spans="1:22" ht="15" hidden="1" customHeight="1">
      <c r="A145" s="260"/>
      <c r="B145" s="260"/>
      <c r="C145" s="260"/>
      <c r="D145" s="260"/>
      <c r="E145" s="260"/>
      <c r="F145" s="260"/>
      <c r="G145" s="260"/>
      <c r="H145" s="268" t="s">
        <v>1091</v>
      </c>
      <c r="I145" s="238"/>
      <c r="J145" s="262">
        <v>54</v>
      </c>
      <c r="K145" s="263" t="s">
        <v>1042</v>
      </c>
      <c r="L145" s="264">
        <v>10000</v>
      </c>
      <c r="M145" s="265">
        <f>+J145*L145</f>
        <v>540000</v>
      </c>
      <c r="N145" s="262">
        <f>36+18</f>
        <v>54</v>
      </c>
      <c r="O145" s="263" t="s">
        <v>1042</v>
      </c>
      <c r="P145" s="264">
        <v>10000</v>
      </c>
      <c r="Q145" s="266">
        <f>+N145*P145</f>
        <v>540000</v>
      </c>
      <c r="R145" s="267">
        <f>IF(J145="","",Q145/M145)</f>
        <v>1</v>
      </c>
      <c r="S145" s="266">
        <f>+IF(W145="DDS",Q145,0)</f>
        <v>0</v>
      </c>
      <c r="T145" s="266">
        <f>+IF(W145="ADD",Q145,0)</f>
        <v>0</v>
      </c>
      <c r="U145" s="266">
        <f>+IF(W145="DDS",0,IF(W145="ADD",0,Q145))</f>
        <v>540000</v>
      </c>
      <c r="V145" s="266">
        <v>0</v>
      </c>
    </row>
    <row r="146" spans="1:22" ht="15" hidden="1" customHeight="1">
      <c r="A146" s="260"/>
      <c r="B146" s="260"/>
      <c r="C146" s="260"/>
      <c r="D146" s="260"/>
      <c r="E146" s="260"/>
      <c r="F146" s="260"/>
      <c r="G146" s="260"/>
      <c r="H146" s="268" t="s">
        <v>1092</v>
      </c>
      <c r="I146" s="238"/>
      <c r="J146" s="262">
        <v>36</v>
      </c>
      <c r="K146" s="263" t="s">
        <v>1042</v>
      </c>
      <c r="L146" s="264">
        <v>35000</v>
      </c>
      <c r="M146" s="265">
        <f>+J146*L146</f>
        <v>1260000</v>
      </c>
      <c r="N146" s="266">
        <f>27+9</f>
        <v>36</v>
      </c>
      <c r="O146" s="261" t="s">
        <v>1093</v>
      </c>
      <c r="P146" s="266">
        <v>35000</v>
      </c>
      <c r="Q146" s="266">
        <f>+N146*P146</f>
        <v>1260000</v>
      </c>
      <c r="R146" s="267">
        <f>IF(J146="","",Q146/M146)</f>
        <v>1</v>
      </c>
      <c r="S146" s="266">
        <f>+IF(W146="DDS",Q146,0)</f>
        <v>0</v>
      </c>
      <c r="T146" s="266">
        <f>+IF(W146="ADD",Q146,0)</f>
        <v>0</v>
      </c>
      <c r="U146" s="266">
        <f>+IF(W146="DDS",0,IF(W146="ADD",0,Q146))</f>
        <v>1260000</v>
      </c>
      <c r="V146" s="266">
        <v>0</v>
      </c>
    </row>
    <row r="147" spans="1:22" ht="15" hidden="1" customHeight="1">
      <c r="A147" s="229" t="s">
        <v>362</v>
      </c>
      <c r="B147" s="229" t="s">
        <v>960</v>
      </c>
      <c r="C147" s="229" t="s">
        <v>1040</v>
      </c>
      <c r="D147" s="252" t="s">
        <v>363</v>
      </c>
      <c r="E147" s="252" t="s">
        <v>970</v>
      </c>
      <c r="F147" s="252">
        <v>2</v>
      </c>
      <c r="G147" s="252" t="s">
        <v>959</v>
      </c>
      <c r="H147" s="253" t="s">
        <v>135</v>
      </c>
      <c r="I147" s="238"/>
      <c r="J147" s="254"/>
      <c r="K147" s="255"/>
      <c r="L147" s="256"/>
      <c r="M147" s="257">
        <f>+M148</f>
        <v>2160000</v>
      </c>
      <c r="N147" s="266">
        <v>0</v>
      </c>
      <c r="O147" s="261"/>
      <c r="P147" s="266">
        <v>0</v>
      </c>
      <c r="Q147" s="257">
        <f>+Q148</f>
        <v>2100000</v>
      </c>
      <c r="R147" s="267" t="str">
        <f>IF(J147="","",Q147/M147)</f>
        <v/>
      </c>
      <c r="S147" s="266">
        <f>+IF(W147="DDS",Q147,0)</f>
        <v>0</v>
      </c>
      <c r="T147" s="266">
        <f>+IF(W147="ADD",Q147,0)</f>
        <v>0</v>
      </c>
      <c r="U147" s="266">
        <f>+IF(W147="DDS",0,IF(W147="ADD",0,Q147))</f>
        <v>2100000</v>
      </c>
      <c r="V147" s="266">
        <v>0</v>
      </c>
    </row>
    <row r="148" spans="1:22" s="119" customFormat="1" ht="12" hidden="1" customHeight="1">
      <c r="A148" s="229" t="s">
        <v>362</v>
      </c>
      <c r="B148" s="229" t="s">
        <v>960</v>
      </c>
      <c r="C148" s="229" t="s">
        <v>1094</v>
      </c>
      <c r="D148" s="260" t="s">
        <v>363</v>
      </c>
      <c r="E148" s="260" t="s">
        <v>970</v>
      </c>
      <c r="F148" s="260">
        <v>2</v>
      </c>
      <c r="G148" s="260">
        <v>99</v>
      </c>
      <c r="H148" s="261" t="s">
        <v>1095</v>
      </c>
      <c r="I148" s="238"/>
      <c r="J148" s="262">
        <v>72</v>
      </c>
      <c r="K148" s="263" t="s">
        <v>1096</v>
      </c>
      <c r="L148" s="264">
        <v>30000</v>
      </c>
      <c r="M148" s="265">
        <f>+J148*L148</f>
        <v>2160000</v>
      </c>
      <c r="N148" s="262">
        <f>52+18</f>
        <v>70</v>
      </c>
      <c r="O148" s="263" t="s">
        <v>1096</v>
      </c>
      <c r="P148" s="264">
        <v>30000</v>
      </c>
      <c r="Q148" s="266">
        <f>+N148*P148</f>
        <v>2100000</v>
      </c>
      <c r="R148" s="267">
        <f>IF(J148="","",Q148/M148)</f>
        <v>0.97222222222222221</v>
      </c>
      <c r="S148" s="266">
        <f>+IF(W148="DDS",Q148,0)</f>
        <v>0</v>
      </c>
      <c r="T148" s="266">
        <f>+IF(W148="ADD",Q148,0)</f>
        <v>0</v>
      </c>
      <c r="U148" s="266">
        <f>+IF(W148="DDS",0,IF(W148="ADD",0,Q148))</f>
        <v>2100000</v>
      </c>
      <c r="V148" s="266">
        <v>0</v>
      </c>
    </row>
    <row r="149" spans="1:22" ht="23.25" customHeight="1">
      <c r="A149" s="260" t="s">
        <v>362</v>
      </c>
      <c r="B149" s="260" t="s">
        <v>960</v>
      </c>
      <c r="C149" s="260" t="s">
        <v>1094</v>
      </c>
      <c r="D149" s="229"/>
      <c r="E149" s="229"/>
      <c r="F149" s="229"/>
      <c r="G149" s="229"/>
      <c r="H149" s="238" t="s">
        <v>358</v>
      </c>
      <c r="I149" s="238" t="s">
        <v>1097</v>
      </c>
      <c r="J149" s="239"/>
      <c r="K149" s="240">
        <v>12</v>
      </c>
      <c r="L149" s="241" t="s">
        <v>1073</v>
      </c>
      <c r="M149" s="234">
        <f>+M150</f>
        <v>58218780</v>
      </c>
      <c r="N149" s="242"/>
      <c r="O149" s="240">
        <v>12</v>
      </c>
      <c r="P149" s="241" t="s">
        <v>1073</v>
      </c>
      <c r="Q149" s="234">
        <f>+Q150</f>
        <v>57618780</v>
      </c>
      <c r="R149" s="236">
        <f>Q149/M149*100%</f>
        <v>0.98969404717859077</v>
      </c>
      <c r="S149" s="234">
        <f>+S150</f>
        <v>0</v>
      </c>
      <c r="T149" s="234">
        <f>+T150</f>
        <v>0</v>
      </c>
      <c r="U149" s="234">
        <f>+U150</f>
        <v>57618780</v>
      </c>
      <c r="V149" s="234">
        <f>+V150</f>
        <v>0</v>
      </c>
    </row>
    <row r="150" spans="1:22" ht="15" hidden="1" customHeight="1">
      <c r="A150" s="229" t="s">
        <v>362</v>
      </c>
      <c r="B150" s="229" t="s">
        <v>960</v>
      </c>
      <c r="C150" s="229" t="s">
        <v>1094</v>
      </c>
      <c r="D150" s="244" t="s">
        <v>363</v>
      </c>
      <c r="E150" s="244" t="s">
        <v>970</v>
      </c>
      <c r="F150" s="244" t="s">
        <v>959</v>
      </c>
      <c r="G150" s="244" t="s">
        <v>959</v>
      </c>
      <c r="H150" s="245" t="s">
        <v>1026</v>
      </c>
      <c r="I150" s="238"/>
      <c r="J150" s="246"/>
      <c r="K150" s="247"/>
      <c r="L150" s="248"/>
      <c r="M150" s="249">
        <f>+M151+M153</f>
        <v>58218780</v>
      </c>
      <c r="N150" s="250"/>
      <c r="O150" s="245"/>
      <c r="P150" s="250"/>
      <c r="Q150" s="249">
        <f>+Q151+Q153</f>
        <v>57618780</v>
      </c>
      <c r="R150" s="251" t="str">
        <f t="shared" ref="R150:R192" si="35">IF(J150="","",Q150/M150)</f>
        <v/>
      </c>
      <c r="S150" s="249">
        <f>+S151+S153</f>
        <v>0</v>
      </c>
      <c r="T150" s="249">
        <f>+T151+T153</f>
        <v>0</v>
      </c>
      <c r="U150" s="249">
        <f>+U151+U153</f>
        <v>57618780</v>
      </c>
      <c r="V150" s="249">
        <f>+V151+V153</f>
        <v>0</v>
      </c>
    </row>
    <row r="151" spans="1:22" ht="15" hidden="1" customHeight="1">
      <c r="A151" s="260" t="s">
        <v>362</v>
      </c>
      <c r="B151" s="260" t="s">
        <v>960</v>
      </c>
      <c r="C151" s="260" t="s">
        <v>1094</v>
      </c>
      <c r="D151" s="252" t="s">
        <v>363</v>
      </c>
      <c r="E151" s="252" t="s">
        <v>970</v>
      </c>
      <c r="F151" s="252" t="s">
        <v>362</v>
      </c>
      <c r="G151" s="252" t="s">
        <v>959</v>
      </c>
      <c r="H151" s="253" t="s">
        <v>134</v>
      </c>
      <c r="I151" s="238"/>
      <c r="J151" s="254"/>
      <c r="K151" s="255"/>
      <c r="L151" s="256"/>
      <c r="M151" s="257">
        <f>+M152</f>
        <v>1200000</v>
      </c>
      <c r="N151" s="266">
        <v>0</v>
      </c>
      <c r="O151" s="261"/>
      <c r="P151" s="266">
        <v>0</v>
      </c>
      <c r="Q151" s="257">
        <f>+Q152</f>
        <v>600000</v>
      </c>
      <c r="R151" s="267" t="str">
        <f t="shared" si="35"/>
        <v/>
      </c>
      <c r="S151" s="257">
        <f>+S152</f>
        <v>0</v>
      </c>
      <c r="T151" s="257">
        <f>+T152</f>
        <v>0</v>
      </c>
      <c r="U151" s="257">
        <f>+U152</f>
        <v>600000</v>
      </c>
      <c r="V151" s="257">
        <f>+V152</f>
        <v>0</v>
      </c>
    </row>
    <row r="152" spans="1:22" s="114" customFormat="1" ht="15" hidden="1" customHeight="1">
      <c r="A152" s="260" t="s">
        <v>362</v>
      </c>
      <c r="B152" s="260" t="s">
        <v>960</v>
      </c>
      <c r="C152" s="260" t="s">
        <v>1094</v>
      </c>
      <c r="D152" s="260" t="s">
        <v>363</v>
      </c>
      <c r="E152" s="260" t="s">
        <v>970</v>
      </c>
      <c r="F152" s="260" t="s">
        <v>362</v>
      </c>
      <c r="G152" s="260" t="s">
        <v>1040</v>
      </c>
      <c r="H152" s="261" t="s">
        <v>252</v>
      </c>
      <c r="I152" s="238"/>
      <c r="J152" s="262">
        <v>120</v>
      </c>
      <c r="K152" s="263" t="s">
        <v>1042</v>
      </c>
      <c r="L152" s="264">
        <v>10000</v>
      </c>
      <c r="M152" s="265">
        <f>+J152*L152</f>
        <v>1200000</v>
      </c>
      <c r="N152" s="266">
        <v>60</v>
      </c>
      <c r="O152" s="261" t="s">
        <v>1042</v>
      </c>
      <c r="P152" s="266">
        <v>10000</v>
      </c>
      <c r="Q152" s="266">
        <f>+N152*P152</f>
        <v>600000</v>
      </c>
      <c r="R152" s="267">
        <f t="shared" si="35"/>
        <v>0.5</v>
      </c>
      <c r="S152" s="266">
        <f>+IF(W152="DDS",Q152,0)</f>
        <v>0</v>
      </c>
      <c r="T152" s="266">
        <f>+IF(W152="ADD",Q152,0)</f>
        <v>0</v>
      </c>
      <c r="U152" s="266">
        <f>+IF(W152="DDS",0,IF(W152="ADD",0,Q152))</f>
        <v>600000</v>
      </c>
      <c r="V152" s="266">
        <v>0</v>
      </c>
    </row>
    <row r="153" spans="1:22" ht="15" hidden="1" customHeight="1">
      <c r="A153" s="260" t="s">
        <v>362</v>
      </c>
      <c r="B153" s="260" t="s">
        <v>960</v>
      </c>
      <c r="C153" s="260" t="s">
        <v>1094</v>
      </c>
      <c r="D153" s="252" t="s">
        <v>363</v>
      </c>
      <c r="E153" s="252" t="s">
        <v>970</v>
      </c>
      <c r="F153" s="252" t="s">
        <v>363</v>
      </c>
      <c r="G153" s="252" t="s">
        <v>959</v>
      </c>
      <c r="H153" s="253" t="s">
        <v>138</v>
      </c>
      <c r="I153" s="238"/>
      <c r="J153" s="254"/>
      <c r="K153" s="255"/>
      <c r="L153" s="256"/>
      <c r="M153" s="257">
        <f>+M154+M155</f>
        <v>57018780</v>
      </c>
      <c r="N153" s="266">
        <v>0</v>
      </c>
      <c r="O153" s="261"/>
      <c r="P153" s="266">
        <v>0</v>
      </c>
      <c r="Q153" s="257">
        <f>+Q154+Q155</f>
        <v>57018780</v>
      </c>
      <c r="R153" s="267" t="str">
        <f t="shared" si="35"/>
        <v/>
      </c>
      <c r="S153" s="257">
        <f>+S154+S155</f>
        <v>0</v>
      </c>
      <c r="T153" s="257">
        <f>+T154+T155</f>
        <v>0</v>
      </c>
      <c r="U153" s="257">
        <f>+U154+U155</f>
        <v>57018780</v>
      </c>
      <c r="V153" s="257">
        <f>+V154+V155</f>
        <v>0</v>
      </c>
    </row>
    <row r="154" spans="1:22" ht="13.5" hidden="1" customHeight="1">
      <c r="A154" s="260" t="s">
        <v>362</v>
      </c>
      <c r="B154" s="260" t="s">
        <v>960</v>
      </c>
      <c r="C154" s="260" t="s">
        <v>1094</v>
      </c>
      <c r="D154" s="260" t="s">
        <v>363</v>
      </c>
      <c r="E154" s="260" t="s">
        <v>970</v>
      </c>
      <c r="F154" s="260" t="s">
        <v>363</v>
      </c>
      <c r="G154" s="260" t="s">
        <v>1043</v>
      </c>
      <c r="H154" s="278" t="s">
        <v>1098</v>
      </c>
      <c r="I154" s="238"/>
      <c r="J154" s="262">
        <v>708</v>
      </c>
      <c r="K154" s="263" t="s">
        <v>966</v>
      </c>
      <c r="L154" s="264">
        <v>75000</v>
      </c>
      <c r="M154" s="265">
        <f>+J154*L154</f>
        <v>53100000</v>
      </c>
      <c r="N154" s="266">
        <f>59*12</f>
        <v>708</v>
      </c>
      <c r="O154" s="261" t="s">
        <v>966</v>
      </c>
      <c r="P154" s="266">
        <v>75000</v>
      </c>
      <c r="Q154" s="266">
        <f>+N154*P154</f>
        <v>53100000</v>
      </c>
      <c r="R154" s="267">
        <f t="shared" si="35"/>
        <v>1</v>
      </c>
      <c r="S154" s="266">
        <f>+IF(W154="DDS",Q154,0)</f>
        <v>0</v>
      </c>
      <c r="T154" s="266">
        <f>+IF(W154="ADD",Q154,0)</f>
        <v>0</v>
      </c>
      <c r="U154" s="266">
        <f>+IF(W154="DDS",0,IF(W154="ADD",0,Q154))</f>
        <v>53100000</v>
      </c>
      <c r="V154" s="266">
        <v>0</v>
      </c>
    </row>
    <row r="155" spans="1:22" ht="11.25" hidden="1" customHeight="1">
      <c r="A155" s="260" t="s">
        <v>362</v>
      </c>
      <c r="B155" s="260" t="s">
        <v>960</v>
      </c>
      <c r="C155" s="260" t="s">
        <v>1094</v>
      </c>
      <c r="D155" s="260">
        <v>5</v>
      </c>
      <c r="E155" s="269">
        <v>2</v>
      </c>
      <c r="F155" s="269">
        <v>5</v>
      </c>
      <c r="G155" s="260">
        <v>91</v>
      </c>
      <c r="H155" s="278" t="s">
        <v>1099</v>
      </c>
      <c r="I155" s="238"/>
      <c r="J155" s="262">
        <v>708</v>
      </c>
      <c r="K155" s="263" t="s">
        <v>966</v>
      </c>
      <c r="L155" s="264">
        <v>5535</v>
      </c>
      <c r="M155" s="265">
        <f>+J155*L155</f>
        <v>3918780</v>
      </c>
      <c r="N155" s="266">
        <f>59*12</f>
        <v>708</v>
      </c>
      <c r="O155" s="261" t="s">
        <v>966</v>
      </c>
      <c r="P155" s="266">
        <v>5535</v>
      </c>
      <c r="Q155" s="266">
        <f>+N155*P155</f>
        <v>3918780</v>
      </c>
      <c r="R155" s="267">
        <f t="shared" si="35"/>
        <v>1</v>
      </c>
      <c r="S155" s="266">
        <f>+IF(W155="DDS",Q155,0)</f>
        <v>0</v>
      </c>
      <c r="T155" s="266">
        <f>+IF(W155="ADD",Q155,0)</f>
        <v>0</v>
      </c>
      <c r="U155" s="266">
        <f>+IF(W155="DDS",0,IF(W155="ADD",0,Q155))</f>
        <v>3918780</v>
      </c>
      <c r="V155" s="266">
        <v>0</v>
      </c>
    </row>
    <row r="156" spans="1:22" ht="30" customHeight="1">
      <c r="A156" s="229" t="s">
        <v>362</v>
      </c>
      <c r="B156" s="229" t="s">
        <v>960</v>
      </c>
      <c r="C156" s="270" t="s">
        <v>1043</v>
      </c>
      <c r="D156" s="229"/>
      <c r="E156" s="229"/>
      <c r="F156" s="270"/>
      <c r="G156" s="229" t="s">
        <v>959</v>
      </c>
      <c r="H156" s="238" t="s">
        <v>1100</v>
      </c>
      <c r="I156" s="238" t="s">
        <v>1101</v>
      </c>
      <c r="J156" s="239"/>
      <c r="K156" s="240">
        <v>12</v>
      </c>
      <c r="L156" s="241" t="s">
        <v>1073</v>
      </c>
      <c r="M156" s="234">
        <f>+M157</f>
        <v>39440000</v>
      </c>
      <c r="N156" s="250"/>
      <c r="O156" s="240">
        <v>12</v>
      </c>
      <c r="P156" s="241" t="s">
        <v>1073</v>
      </c>
      <c r="Q156" s="234">
        <f>+Q157</f>
        <v>35514750</v>
      </c>
      <c r="R156" s="236">
        <f>Q156/M156*100%</f>
        <v>0.90047540567951323</v>
      </c>
      <c r="S156" s="234">
        <f>+S157</f>
        <v>0</v>
      </c>
      <c r="T156" s="234">
        <f>+T157</f>
        <v>0</v>
      </c>
      <c r="U156" s="234">
        <f>+U157</f>
        <v>35514750</v>
      </c>
      <c r="V156" s="234">
        <f>+V157</f>
        <v>0</v>
      </c>
    </row>
    <row r="157" spans="1:22" ht="15.75" hidden="1" customHeight="1">
      <c r="A157" s="260" t="s">
        <v>362</v>
      </c>
      <c r="B157" s="260" t="s">
        <v>960</v>
      </c>
      <c r="C157" s="269" t="s">
        <v>1043</v>
      </c>
      <c r="D157" s="244" t="s">
        <v>363</v>
      </c>
      <c r="E157" s="244" t="s">
        <v>970</v>
      </c>
      <c r="F157" s="244" t="s">
        <v>959</v>
      </c>
      <c r="G157" s="244" t="s">
        <v>959</v>
      </c>
      <c r="H157" s="245" t="s">
        <v>1026</v>
      </c>
      <c r="I157" s="238"/>
      <c r="J157" s="246"/>
      <c r="K157" s="247"/>
      <c r="L157" s="248"/>
      <c r="M157" s="249">
        <f>M158+M175+M190</f>
        <v>39440000</v>
      </c>
      <c r="N157" s="258"/>
      <c r="O157" s="253"/>
      <c r="P157" s="258"/>
      <c r="Q157" s="249">
        <f>Q158+Q175+Q190</f>
        <v>35514750</v>
      </c>
      <c r="R157" s="259" t="str">
        <f t="shared" si="35"/>
        <v/>
      </c>
      <c r="S157" s="249">
        <f>S158+S175+S190</f>
        <v>0</v>
      </c>
      <c r="T157" s="249">
        <f>T158+T175+T190</f>
        <v>0</v>
      </c>
      <c r="U157" s="249">
        <f>U158+U175+U190</f>
        <v>35514750</v>
      </c>
      <c r="V157" s="249">
        <f>V158+V175+V190</f>
        <v>0</v>
      </c>
    </row>
    <row r="158" spans="1:22" ht="15.75" hidden="1" customHeight="1">
      <c r="A158" s="260" t="s">
        <v>362</v>
      </c>
      <c r="B158" s="260" t="s">
        <v>960</v>
      </c>
      <c r="C158" s="269" t="s">
        <v>1043</v>
      </c>
      <c r="D158" s="252" t="s">
        <v>363</v>
      </c>
      <c r="E158" s="252" t="s">
        <v>970</v>
      </c>
      <c r="F158" s="252" t="s">
        <v>362</v>
      </c>
      <c r="G158" s="252" t="s">
        <v>959</v>
      </c>
      <c r="H158" s="253" t="s">
        <v>134</v>
      </c>
      <c r="I158" s="238"/>
      <c r="J158" s="254"/>
      <c r="K158" s="255"/>
      <c r="L158" s="256"/>
      <c r="M158" s="257">
        <f>+SUM(M159:M174)</f>
        <v>29265000</v>
      </c>
      <c r="N158" s="266"/>
      <c r="O158" s="261"/>
      <c r="P158" s="266"/>
      <c r="Q158" s="257">
        <f>+SUM(Q159:Q174)</f>
        <v>25339750</v>
      </c>
      <c r="R158" s="267" t="str">
        <f t="shared" si="35"/>
        <v/>
      </c>
      <c r="S158" s="257">
        <f>+SUM(S159:S174)</f>
        <v>0</v>
      </c>
      <c r="T158" s="257">
        <f>+SUM(T159:T174)</f>
        <v>0</v>
      </c>
      <c r="U158" s="257">
        <f>+SUM(U159:U174)</f>
        <v>25339750</v>
      </c>
      <c r="V158" s="257">
        <f>+SUM(V159:V174)</f>
        <v>0</v>
      </c>
    </row>
    <row r="159" spans="1:22" ht="15.75" hidden="1" customHeight="1">
      <c r="A159" s="260" t="s">
        <v>362</v>
      </c>
      <c r="B159" s="260" t="s">
        <v>960</v>
      </c>
      <c r="C159" s="269" t="s">
        <v>1043</v>
      </c>
      <c r="D159" s="260" t="s">
        <v>363</v>
      </c>
      <c r="E159" s="260" t="s">
        <v>970</v>
      </c>
      <c r="F159" s="260" t="s">
        <v>362</v>
      </c>
      <c r="G159" s="260" t="s">
        <v>960</v>
      </c>
      <c r="H159" s="261" t="s">
        <v>1027</v>
      </c>
      <c r="I159" s="238"/>
      <c r="J159" s="262"/>
      <c r="K159" s="263"/>
      <c r="L159" s="264"/>
      <c r="M159" s="265"/>
      <c r="N159" s="266"/>
      <c r="O159" s="261"/>
      <c r="P159" s="266"/>
      <c r="Q159" s="266">
        <f t="shared" ref="Q159:Q174" si="36">+N159*P159</f>
        <v>0</v>
      </c>
      <c r="R159" s="267" t="str">
        <f t="shared" si="35"/>
        <v/>
      </c>
      <c r="S159" s="266">
        <f t="shared" ref="S159:S174" si="37">+IF(W159="DDS",Q159,0)</f>
        <v>0</v>
      </c>
      <c r="T159" s="266">
        <f t="shared" ref="T159:T174" si="38">+IF(W159="ADD",Q159,0)</f>
        <v>0</v>
      </c>
      <c r="U159" s="266">
        <f t="shared" ref="U159:U174" si="39">+IF(W159="DDS",0,IF(W159="ADD",0,Q159))</f>
        <v>0</v>
      </c>
      <c r="V159" s="266">
        <v>0</v>
      </c>
    </row>
    <row r="160" spans="1:22" ht="15.75" hidden="1" customHeight="1">
      <c r="A160" s="260"/>
      <c r="B160" s="260"/>
      <c r="C160" s="260"/>
      <c r="D160" s="260"/>
      <c r="E160" s="260"/>
      <c r="F160" s="260"/>
      <c r="G160" s="260"/>
      <c r="H160" s="268" t="s">
        <v>1102</v>
      </c>
      <c r="I160" s="238"/>
      <c r="J160" s="262">
        <v>1</v>
      </c>
      <c r="K160" s="263" t="s">
        <v>1103</v>
      </c>
      <c r="L160" s="264">
        <v>3600000</v>
      </c>
      <c r="M160" s="265">
        <f>+J160*L160</f>
        <v>3600000</v>
      </c>
      <c r="N160" s="266">
        <v>1</v>
      </c>
      <c r="O160" s="261" t="s">
        <v>1104</v>
      </c>
      <c r="P160" s="266">
        <f>1601500+352000+395500+157000</f>
        <v>2506000</v>
      </c>
      <c r="Q160" s="266">
        <f t="shared" si="36"/>
        <v>2506000</v>
      </c>
      <c r="R160" s="267">
        <f>IF(J160="","",Q160/M160)</f>
        <v>0.69611111111111112</v>
      </c>
      <c r="S160" s="266">
        <f t="shared" si="37"/>
        <v>0</v>
      </c>
      <c r="T160" s="266">
        <f t="shared" si="38"/>
        <v>0</v>
      </c>
      <c r="U160" s="266">
        <f t="shared" si="39"/>
        <v>2506000</v>
      </c>
      <c r="V160" s="266">
        <v>0</v>
      </c>
    </row>
    <row r="161" spans="1:16124" s="110" customFormat="1" ht="15.75" hidden="1" customHeight="1">
      <c r="A161" s="229"/>
      <c r="B161" s="229"/>
      <c r="C161" s="229"/>
      <c r="D161" s="260"/>
      <c r="E161" s="260"/>
      <c r="F161" s="260"/>
      <c r="G161" s="260"/>
      <c r="H161" s="268" t="s">
        <v>1105</v>
      </c>
      <c r="I161" s="238"/>
      <c r="J161" s="262">
        <v>1</v>
      </c>
      <c r="K161" s="263" t="s">
        <v>1103</v>
      </c>
      <c r="L161" s="264">
        <v>50000</v>
      </c>
      <c r="M161" s="265">
        <f>+J161*L161</f>
        <v>50000</v>
      </c>
      <c r="N161" s="266">
        <v>1</v>
      </c>
      <c r="O161" s="261" t="s">
        <v>1104</v>
      </c>
      <c r="P161" s="266">
        <v>50000</v>
      </c>
      <c r="Q161" s="266">
        <f t="shared" si="36"/>
        <v>50000</v>
      </c>
      <c r="R161" s="267">
        <f>IF(J161="","",Q161/M161)</f>
        <v>1</v>
      </c>
      <c r="S161" s="266">
        <f t="shared" si="37"/>
        <v>0</v>
      </c>
      <c r="T161" s="266">
        <f t="shared" si="38"/>
        <v>0</v>
      </c>
      <c r="U161" s="266">
        <f t="shared" si="39"/>
        <v>50000</v>
      </c>
      <c r="V161" s="266">
        <v>0</v>
      </c>
      <c r="W161" s="111"/>
      <c r="X161" s="111"/>
      <c r="Y161" s="111"/>
      <c r="Z161" s="111"/>
      <c r="AA161" s="111"/>
      <c r="AB161" s="111"/>
      <c r="AC161" s="111"/>
      <c r="AD161" s="111"/>
      <c r="AE161" s="111"/>
      <c r="AF161" s="111"/>
      <c r="AG161" s="111"/>
      <c r="AH161" s="111"/>
      <c r="AI161" s="111"/>
      <c r="AJ161" s="111"/>
      <c r="AK161" s="111"/>
      <c r="AL161" s="111"/>
      <c r="AM161" s="111"/>
      <c r="AN161" s="111"/>
      <c r="AO161" s="111"/>
      <c r="AP161" s="111"/>
      <c r="AQ161" s="111"/>
      <c r="AR161" s="111"/>
      <c r="AS161" s="111"/>
      <c r="AT161" s="111"/>
      <c r="AU161" s="111"/>
      <c r="AV161" s="111"/>
      <c r="AW161" s="111"/>
      <c r="AX161" s="111"/>
      <c r="AY161" s="111"/>
      <c r="AZ161" s="111"/>
      <c r="BA161" s="111"/>
      <c r="BB161" s="111"/>
      <c r="BC161" s="111"/>
      <c r="BD161" s="111"/>
      <c r="BE161" s="111"/>
      <c r="BF161" s="111"/>
      <c r="BG161" s="111"/>
      <c r="BH161" s="111"/>
      <c r="BI161" s="111"/>
      <c r="BJ161" s="111"/>
      <c r="BK161" s="111"/>
      <c r="BL161" s="111"/>
      <c r="BM161" s="111"/>
      <c r="BN161" s="111"/>
      <c r="BO161" s="111"/>
      <c r="BP161" s="111"/>
      <c r="BQ161" s="111"/>
      <c r="BR161" s="111"/>
      <c r="BS161" s="111"/>
      <c r="BT161" s="111"/>
      <c r="BU161" s="111"/>
      <c r="BV161" s="111"/>
      <c r="BW161" s="111"/>
      <c r="BX161" s="111"/>
      <c r="BY161" s="111"/>
      <c r="BZ161" s="111"/>
      <c r="CA161" s="111"/>
      <c r="CB161" s="111"/>
      <c r="CC161" s="111"/>
      <c r="CD161" s="111"/>
      <c r="CE161" s="111"/>
      <c r="CF161" s="111"/>
      <c r="CG161" s="111"/>
      <c r="CH161" s="111"/>
      <c r="CI161" s="111"/>
      <c r="CJ161" s="111"/>
      <c r="CK161" s="111"/>
      <c r="CL161" s="111"/>
      <c r="CM161" s="111"/>
      <c r="CN161" s="111"/>
      <c r="CO161" s="111"/>
      <c r="CP161" s="111"/>
      <c r="CQ161" s="111"/>
      <c r="CR161" s="111"/>
      <c r="CS161" s="111"/>
      <c r="CT161" s="111"/>
      <c r="CU161" s="111"/>
      <c r="CV161" s="111"/>
      <c r="CW161" s="111"/>
      <c r="CX161" s="111"/>
      <c r="CY161" s="111"/>
      <c r="CZ161" s="111"/>
      <c r="DA161" s="111"/>
      <c r="DB161" s="111"/>
      <c r="DC161" s="111"/>
      <c r="DD161" s="111"/>
      <c r="DE161" s="111"/>
      <c r="DF161" s="111"/>
      <c r="DG161" s="111"/>
      <c r="DH161" s="111"/>
      <c r="DI161" s="111"/>
      <c r="DJ161" s="111"/>
      <c r="DK161" s="111"/>
      <c r="DL161" s="111"/>
      <c r="DM161" s="111"/>
      <c r="DN161" s="111"/>
      <c r="DO161" s="111"/>
      <c r="DP161" s="111"/>
      <c r="DQ161" s="111"/>
      <c r="DR161" s="111"/>
      <c r="DS161" s="111"/>
      <c r="DT161" s="111"/>
      <c r="DU161" s="111"/>
      <c r="DV161" s="111"/>
      <c r="DW161" s="111"/>
      <c r="DX161" s="111"/>
      <c r="DY161" s="111"/>
      <c r="DZ161" s="111"/>
      <c r="EA161" s="111"/>
      <c r="EB161" s="111"/>
      <c r="EC161" s="111"/>
      <c r="ED161" s="111"/>
      <c r="EE161" s="111"/>
      <c r="EF161" s="111"/>
      <c r="EG161" s="111"/>
      <c r="EH161" s="111"/>
      <c r="EI161" s="111"/>
      <c r="EJ161" s="111"/>
      <c r="EK161" s="111"/>
      <c r="EL161" s="111"/>
      <c r="EM161" s="111"/>
      <c r="EN161" s="111"/>
      <c r="EO161" s="111"/>
      <c r="EP161" s="111"/>
      <c r="EQ161" s="111"/>
      <c r="ER161" s="111"/>
      <c r="ES161" s="111"/>
      <c r="ET161" s="111"/>
      <c r="EU161" s="111"/>
      <c r="EV161" s="111"/>
      <c r="EW161" s="111"/>
      <c r="EX161" s="111"/>
      <c r="EY161" s="111"/>
      <c r="EZ161" s="111"/>
      <c r="FA161" s="111"/>
      <c r="FB161" s="111"/>
      <c r="FC161" s="111"/>
      <c r="FD161" s="111"/>
      <c r="FE161" s="111"/>
      <c r="FF161" s="111"/>
      <c r="FG161" s="111"/>
      <c r="FH161" s="111"/>
      <c r="FI161" s="111"/>
      <c r="FJ161" s="111"/>
      <c r="FK161" s="111"/>
      <c r="FL161" s="111"/>
      <c r="FM161" s="111"/>
      <c r="FN161" s="111"/>
      <c r="FO161" s="111"/>
      <c r="FP161" s="111"/>
      <c r="FQ161" s="111"/>
      <c r="FR161" s="111"/>
      <c r="FS161" s="111"/>
      <c r="FT161" s="111"/>
      <c r="FU161" s="111"/>
      <c r="FV161" s="111"/>
      <c r="FW161" s="111"/>
      <c r="FX161" s="111"/>
      <c r="FY161" s="111"/>
      <c r="FZ161" s="111"/>
      <c r="GA161" s="111"/>
      <c r="GB161" s="111"/>
      <c r="GC161" s="111"/>
      <c r="GD161" s="111"/>
      <c r="GE161" s="111"/>
      <c r="GF161" s="111"/>
      <c r="GG161" s="111"/>
      <c r="GH161" s="111"/>
      <c r="GI161" s="111"/>
      <c r="GJ161" s="111"/>
      <c r="GK161" s="111"/>
      <c r="GL161" s="111"/>
      <c r="GM161" s="111"/>
      <c r="GN161" s="111"/>
      <c r="GO161" s="111"/>
      <c r="GP161" s="111"/>
      <c r="GQ161" s="111"/>
      <c r="GR161" s="111"/>
      <c r="GS161" s="111"/>
      <c r="GT161" s="111"/>
      <c r="GU161" s="111"/>
      <c r="GV161" s="111"/>
      <c r="GW161" s="111"/>
      <c r="GX161" s="111"/>
      <c r="GY161" s="111"/>
      <c r="GZ161" s="111"/>
      <c r="HA161" s="111"/>
      <c r="HB161" s="111"/>
      <c r="HC161" s="111"/>
      <c r="HD161" s="111"/>
      <c r="HE161" s="111"/>
      <c r="HF161" s="111"/>
      <c r="HG161" s="111"/>
      <c r="HH161" s="111"/>
      <c r="HI161" s="111"/>
      <c r="HJ161" s="111"/>
      <c r="HK161" s="111"/>
      <c r="HL161" s="111"/>
      <c r="HM161" s="111"/>
      <c r="HN161" s="111"/>
      <c r="HO161" s="111"/>
      <c r="HP161" s="111"/>
      <c r="HQ161" s="111"/>
      <c r="HR161" s="111"/>
      <c r="HS161" s="111"/>
      <c r="HT161" s="111"/>
      <c r="HU161" s="111"/>
      <c r="HV161" s="111"/>
      <c r="HW161" s="111"/>
      <c r="HX161" s="111"/>
      <c r="HY161" s="111"/>
      <c r="HZ161" s="111"/>
      <c r="IA161" s="111"/>
      <c r="IB161" s="111"/>
      <c r="IC161" s="111"/>
      <c r="ID161" s="111"/>
      <c r="IE161" s="111"/>
      <c r="IF161" s="111"/>
      <c r="IG161" s="111"/>
      <c r="IH161" s="111"/>
      <c r="II161" s="111"/>
      <c r="IJ161" s="111"/>
      <c r="IK161" s="111"/>
      <c r="IL161" s="111"/>
      <c r="IM161" s="111"/>
      <c r="IN161" s="111"/>
      <c r="IO161" s="111"/>
      <c r="IP161" s="111"/>
      <c r="IQ161" s="111"/>
      <c r="IR161" s="111"/>
      <c r="IS161" s="111"/>
      <c r="IT161" s="111"/>
      <c r="IU161" s="111"/>
      <c r="IV161" s="111"/>
      <c r="IW161" s="111"/>
      <c r="IX161" s="111"/>
      <c r="IY161" s="111"/>
      <c r="IZ161" s="111"/>
      <c r="JA161" s="111"/>
      <c r="JB161" s="111"/>
      <c r="JC161" s="111"/>
      <c r="JD161" s="111"/>
      <c r="JE161" s="111"/>
      <c r="JF161" s="111"/>
      <c r="JG161" s="111"/>
      <c r="JH161" s="111"/>
      <c r="JI161" s="111"/>
      <c r="JJ161" s="111"/>
      <c r="JK161" s="111"/>
      <c r="JL161" s="111"/>
      <c r="JM161" s="111"/>
      <c r="JN161" s="111"/>
      <c r="JO161" s="111"/>
      <c r="JP161" s="111"/>
      <c r="JQ161" s="111"/>
      <c r="JR161" s="111"/>
      <c r="JS161" s="111"/>
      <c r="JT161" s="111"/>
      <c r="JU161" s="111"/>
      <c r="JV161" s="111"/>
      <c r="JW161" s="111"/>
      <c r="JX161" s="111"/>
      <c r="JY161" s="111"/>
      <c r="JZ161" s="111"/>
      <c r="KA161" s="111"/>
      <c r="KB161" s="111"/>
      <c r="KC161" s="111"/>
      <c r="KD161" s="111"/>
      <c r="KE161" s="111"/>
      <c r="KF161" s="111"/>
      <c r="KG161" s="111"/>
      <c r="KH161" s="111"/>
      <c r="KI161" s="111"/>
      <c r="KJ161" s="111"/>
      <c r="KK161" s="111"/>
      <c r="KL161" s="111"/>
      <c r="KM161" s="111"/>
      <c r="KN161" s="111"/>
      <c r="KO161" s="111"/>
      <c r="KP161" s="111"/>
      <c r="KQ161" s="111"/>
      <c r="KR161" s="111"/>
      <c r="KS161" s="111"/>
      <c r="KT161" s="111"/>
      <c r="KU161" s="111"/>
      <c r="KV161" s="111"/>
      <c r="KW161" s="111"/>
      <c r="KX161" s="111"/>
      <c r="KY161" s="111"/>
      <c r="KZ161" s="111"/>
      <c r="LA161" s="111"/>
      <c r="LB161" s="111"/>
      <c r="LC161" s="111"/>
      <c r="LD161" s="111"/>
      <c r="LE161" s="111"/>
      <c r="LF161" s="111"/>
      <c r="LG161" s="111"/>
      <c r="LH161" s="111"/>
      <c r="LI161" s="111"/>
      <c r="LJ161" s="111"/>
      <c r="LK161" s="111"/>
      <c r="LL161" s="111"/>
      <c r="LM161" s="111"/>
      <c r="LN161" s="111"/>
      <c r="LO161" s="111"/>
      <c r="LP161" s="111"/>
      <c r="LQ161" s="111"/>
      <c r="LR161" s="111"/>
      <c r="LS161" s="111"/>
      <c r="LT161" s="111"/>
      <c r="LU161" s="111"/>
      <c r="LV161" s="111"/>
      <c r="LW161" s="111"/>
      <c r="LX161" s="111"/>
      <c r="LY161" s="111"/>
      <c r="LZ161" s="111"/>
      <c r="MA161" s="111"/>
      <c r="MB161" s="111"/>
      <c r="MC161" s="111"/>
      <c r="MD161" s="111"/>
      <c r="ME161" s="111"/>
      <c r="MF161" s="111"/>
      <c r="MG161" s="111"/>
      <c r="MH161" s="111"/>
      <c r="MI161" s="111"/>
      <c r="MJ161" s="111"/>
      <c r="MK161" s="111"/>
      <c r="ML161" s="111"/>
      <c r="MM161" s="111"/>
      <c r="MN161" s="111"/>
      <c r="MO161" s="111"/>
      <c r="MP161" s="111"/>
      <c r="MQ161" s="111"/>
      <c r="MR161" s="111"/>
      <c r="MS161" s="111"/>
      <c r="MT161" s="111"/>
      <c r="MU161" s="111"/>
      <c r="MV161" s="111"/>
      <c r="MW161" s="111"/>
      <c r="MX161" s="111"/>
      <c r="MY161" s="111"/>
      <c r="MZ161" s="111"/>
      <c r="NA161" s="111"/>
      <c r="NB161" s="111"/>
      <c r="NC161" s="111"/>
      <c r="ND161" s="111"/>
      <c r="NE161" s="111"/>
      <c r="NF161" s="111"/>
      <c r="NG161" s="111"/>
      <c r="NH161" s="111"/>
      <c r="NI161" s="111"/>
      <c r="NJ161" s="111"/>
      <c r="NK161" s="111"/>
      <c r="NL161" s="111"/>
      <c r="NM161" s="111"/>
      <c r="NN161" s="111"/>
      <c r="NO161" s="111"/>
      <c r="NP161" s="111"/>
      <c r="NQ161" s="111"/>
      <c r="NR161" s="111"/>
      <c r="NS161" s="111"/>
      <c r="NT161" s="111"/>
      <c r="NU161" s="111"/>
      <c r="NV161" s="111"/>
      <c r="NW161" s="111"/>
      <c r="NX161" s="111"/>
      <c r="NY161" s="111"/>
      <c r="NZ161" s="111"/>
      <c r="OA161" s="111"/>
      <c r="OB161" s="111"/>
      <c r="OC161" s="111"/>
      <c r="OD161" s="111"/>
      <c r="OE161" s="111"/>
      <c r="OF161" s="111"/>
      <c r="OG161" s="111"/>
      <c r="OH161" s="111"/>
      <c r="OI161" s="111"/>
      <c r="OJ161" s="111"/>
      <c r="OK161" s="111"/>
      <c r="OL161" s="111"/>
      <c r="OM161" s="111"/>
      <c r="ON161" s="111"/>
      <c r="OO161" s="111"/>
      <c r="OP161" s="111"/>
      <c r="OQ161" s="111"/>
      <c r="OR161" s="111"/>
      <c r="OS161" s="111"/>
      <c r="OT161" s="111"/>
      <c r="OU161" s="111"/>
      <c r="OV161" s="111"/>
      <c r="OW161" s="111"/>
      <c r="OX161" s="111"/>
      <c r="OY161" s="111"/>
      <c r="OZ161" s="111"/>
      <c r="PA161" s="111"/>
      <c r="PB161" s="111"/>
      <c r="PC161" s="111"/>
      <c r="PD161" s="111"/>
      <c r="PE161" s="111"/>
      <c r="PF161" s="111"/>
      <c r="PG161" s="111"/>
      <c r="PH161" s="111"/>
      <c r="PI161" s="111"/>
      <c r="PJ161" s="111"/>
      <c r="PK161" s="111"/>
      <c r="PL161" s="111"/>
      <c r="PM161" s="111"/>
      <c r="PN161" s="111"/>
      <c r="PO161" s="111"/>
      <c r="PP161" s="111"/>
      <c r="PQ161" s="111"/>
      <c r="PR161" s="111"/>
      <c r="PS161" s="111"/>
      <c r="PT161" s="111"/>
      <c r="PU161" s="111"/>
      <c r="PV161" s="111"/>
      <c r="PW161" s="111"/>
      <c r="PX161" s="111"/>
      <c r="PY161" s="111"/>
      <c r="PZ161" s="111"/>
      <c r="QA161" s="111"/>
      <c r="QB161" s="111"/>
      <c r="QC161" s="111"/>
      <c r="QD161" s="111"/>
      <c r="QE161" s="111"/>
      <c r="QF161" s="111"/>
      <c r="QG161" s="111"/>
      <c r="QH161" s="111"/>
      <c r="QI161" s="111"/>
      <c r="QJ161" s="111"/>
      <c r="QK161" s="111"/>
      <c r="QL161" s="111"/>
      <c r="QM161" s="111"/>
      <c r="QN161" s="111"/>
      <c r="QO161" s="111"/>
      <c r="QP161" s="111"/>
      <c r="QQ161" s="111"/>
      <c r="QR161" s="111"/>
      <c r="QS161" s="111"/>
      <c r="QT161" s="111"/>
      <c r="QU161" s="111"/>
      <c r="QV161" s="111"/>
      <c r="QW161" s="111"/>
      <c r="QX161" s="111"/>
      <c r="QY161" s="111"/>
      <c r="QZ161" s="111"/>
      <c r="RA161" s="111"/>
      <c r="RB161" s="111"/>
      <c r="RC161" s="111"/>
      <c r="RD161" s="111"/>
      <c r="RE161" s="111"/>
      <c r="RF161" s="111"/>
      <c r="RG161" s="111"/>
      <c r="RH161" s="111"/>
      <c r="RI161" s="111"/>
      <c r="RJ161" s="111"/>
      <c r="RK161" s="111"/>
      <c r="RL161" s="111"/>
      <c r="RM161" s="111"/>
      <c r="RN161" s="111"/>
      <c r="RO161" s="111"/>
      <c r="RP161" s="111"/>
      <c r="RQ161" s="111"/>
      <c r="RR161" s="111"/>
      <c r="RS161" s="111"/>
      <c r="RT161" s="111"/>
      <c r="RU161" s="111"/>
      <c r="RV161" s="111"/>
      <c r="RW161" s="111"/>
      <c r="RX161" s="111"/>
      <c r="RY161" s="111"/>
      <c r="RZ161" s="111"/>
      <c r="SA161" s="111"/>
      <c r="SB161" s="111"/>
      <c r="SC161" s="111"/>
      <c r="SD161" s="111"/>
      <c r="SE161" s="111"/>
      <c r="SF161" s="111"/>
      <c r="SG161" s="111"/>
      <c r="SH161" s="111"/>
      <c r="SI161" s="111"/>
      <c r="SJ161" s="111"/>
      <c r="SK161" s="111"/>
      <c r="SL161" s="111"/>
      <c r="SM161" s="111"/>
      <c r="SN161" s="111"/>
      <c r="SO161" s="111"/>
      <c r="SP161" s="111"/>
      <c r="SQ161" s="111"/>
      <c r="SR161" s="111"/>
      <c r="SS161" s="111"/>
      <c r="ST161" s="111"/>
      <c r="SU161" s="111"/>
      <c r="SV161" s="111"/>
      <c r="SW161" s="111"/>
      <c r="SX161" s="111"/>
      <c r="SY161" s="111"/>
      <c r="SZ161" s="111"/>
      <c r="TA161" s="111"/>
      <c r="TB161" s="111"/>
      <c r="TC161" s="111"/>
      <c r="TD161" s="111"/>
      <c r="TE161" s="111"/>
      <c r="TF161" s="111"/>
      <c r="TG161" s="111"/>
      <c r="TH161" s="111"/>
      <c r="TI161" s="111"/>
      <c r="TJ161" s="111"/>
      <c r="TK161" s="111"/>
      <c r="TL161" s="111"/>
      <c r="TM161" s="111"/>
      <c r="TN161" s="111"/>
      <c r="TO161" s="111"/>
      <c r="TP161" s="111"/>
      <c r="TQ161" s="111"/>
      <c r="TR161" s="111"/>
      <c r="TS161" s="111"/>
      <c r="TT161" s="111"/>
      <c r="TU161" s="111"/>
      <c r="TV161" s="111"/>
      <c r="TW161" s="111"/>
      <c r="TX161" s="111"/>
      <c r="TY161" s="111"/>
      <c r="TZ161" s="111"/>
      <c r="UA161" s="111"/>
      <c r="UB161" s="111"/>
      <c r="UC161" s="111"/>
      <c r="UD161" s="111"/>
      <c r="UE161" s="111"/>
      <c r="UF161" s="111"/>
      <c r="UG161" s="111"/>
      <c r="UH161" s="111"/>
      <c r="UI161" s="111"/>
      <c r="UJ161" s="111"/>
      <c r="UK161" s="111"/>
      <c r="UL161" s="111"/>
      <c r="UM161" s="111"/>
      <c r="UN161" s="111"/>
      <c r="UO161" s="111"/>
      <c r="UP161" s="111"/>
      <c r="UQ161" s="111"/>
      <c r="UR161" s="111"/>
      <c r="US161" s="111"/>
      <c r="UT161" s="111"/>
      <c r="UU161" s="111"/>
      <c r="UV161" s="111"/>
      <c r="UW161" s="111"/>
      <c r="UX161" s="111"/>
      <c r="UY161" s="111"/>
      <c r="UZ161" s="111"/>
      <c r="VA161" s="111"/>
      <c r="VB161" s="111"/>
      <c r="VC161" s="111"/>
      <c r="VD161" s="111"/>
      <c r="VE161" s="111"/>
      <c r="VF161" s="111"/>
      <c r="VG161" s="111"/>
      <c r="VH161" s="111"/>
      <c r="VI161" s="111"/>
      <c r="VJ161" s="111"/>
      <c r="VK161" s="111"/>
      <c r="VL161" s="111"/>
      <c r="VM161" s="111"/>
      <c r="VN161" s="111"/>
      <c r="VO161" s="111"/>
      <c r="VP161" s="111"/>
      <c r="VQ161" s="111"/>
      <c r="VR161" s="111"/>
      <c r="VS161" s="111"/>
      <c r="VT161" s="111"/>
      <c r="VU161" s="111"/>
      <c r="VV161" s="111"/>
      <c r="VW161" s="111"/>
      <c r="VX161" s="111"/>
      <c r="VY161" s="111"/>
      <c r="VZ161" s="111"/>
      <c r="WA161" s="111"/>
      <c r="WB161" s="111"/>
      <c r="WC161" s="111"/>
      <c r="WD161" s="111"/>
      <c r="WE161" s="111"/>
      <c r="WF161" s="111"/>
      <c r="WG161" s="111"/>
      <c r="WH161" s="111"/>
      <c r="WI161" s="111"/>
      <c r="WJ161" s="111"/>
      <c r="WK161" s="111"/>
      <c r="WL161" s="111"/>
      <c r="WM161" s="111"/>
      <c r="WN161" s="111"/>
      <c r="WO161" s="111"/>
      <c r="WP161" s="111"/>
      <c r="WQ161" s="111"/>
      <c r="WR161" s="111"/>
      <c r="WS161" s="111"/>
      <c r="WT161" s="111"/>
      <c r="WU161" s="111"/>
      <c r="WV161" s="111"/>
      <c r="WW161" s="111"/>
      <c r="WX161" s="111"/>
      <c r="WY161" s="111"/>
      <c r="WZ161" s="111"/>
      <c r="XA161" s="111"/>
      <c r="XB161" s="111"/>
      <c r="XC161" s="111"/>
      <c r="XD161" s="111"/>
      <c r="XE161" s="111"/>
      <c r="XF161" s="111"/>
      <c r="XG161" s="111"/>
      <c r="XH161" s="111"/>
      <c r="XI161" s="111"/>
      <c r="XJ161" s="111"/>
      <c r="XK161" s="111"/>
      <c r="XL161" s="111"/>
      <c r="XM161" s="111"/>
      <c r="XN161" s="111"/>
      <c r="XO161" s="111"/>
      <c r="XP161" s="111"/>
      <c r="XQ161" s="111"/>
      <c r="XR161" s="111"/>
      <c r="XS161" s="111"/>
      <c r="XT161" s="111"/>
      <c r="XU161" s="111"/>
      <c r="XV161" s="111"/>
      <c r="XW161" s="111"/>
      <c r="XX161" s="111"/>
      <c r="XY161" s="111"/>
      <c r="XZ161" s="111"/>
      <c r="YA161" s="111"/>
      <c r="YB161" s="111"/>
      <c r="YC161" s="111"/>
      <c r="YD161" s="111"/>
      <c r="YE161" s="111"/>
      <c r="YF161" s="111"/>
      <c r="YG161" s="111"/>
      <c r="YH161" s="111"/>
      <c r="YI161" s="111"/>
      <c r="YJ161" s="111"/>
      <c r="YK161" s="111"/>
      <c r="YL161" s="111"/>
      <c r="YM161" s="111"/>
      <c r="YN161" s="111"/>
      <c r="YO161" s="111"/>
      <c r="YP161" s="111"/>
      <c r="YQ161" s="111"/>
      <c r="YR161" s="111"/>
      <c r="YS161" s="111"/>
      <c r="YT161" s="111"/>
      <c r="YU161" s="111"/>
      <c r="YV161" s="111"/>
      <c r="YW161" s="111"/>
      <c r="YX161" s="111"/>
      <c r="YY161" s="111"/>
      <c r="YZ161" s="111"/>
      <c r="ZA161" s="111"/>
      <c r="ZB161" s="111"/>
      <c r="ZC161" s="111"/>
      <c r="ZD161" s="111"/>
      <c r="ZE161" s="111"/>
      <c r="ZF161" s="111"/>
      <c r="ZG161" s="111"/>
      <c r="ZH161" s="111"/>
      <c r="ZI161" s="111"/>
      <c r="ZJ161" s="111"/>
      <c r="ZK161" s="111"/>
      <c r="ZL161" s="111"/>
      <c r="ZM161" s="111"/>
      <c r="ZN161" s="111"/>
      <c r="ZO161" s="111"/>
      <c r="ZP161" s="111"/>
      <c r="ZQ161" s="111"/>
      <c r="ZR161" s="111"/>
      <c r="ZS161" s="111"/>
      <c r="ZT161" s="111"/>
      <c r="ZU161" s="111"/>
      <c r="ZV161" s="111"/>
      <c r="ZW161" s="111"/>
      <c r="ZX161" s="111"/>
      <c r="ZY161" s="111"/>
      <c r="ZZ161" s="111"/>
      <c r="AAA161" s="111"/>
      <c r="AAB161" s="111"/>
      <c r="AAC161" s="111"/>
      <c r="AAD161" s="111"/>
      <c r="AAE161" s="111"/>
      <c r="AAF161" s="111"/>
      <c r="AAG161" s="111"/>
      <c r="AAH161" s="111"/>
      <c r="AAI161" s="111"/>
      <c r="AAJ161" s="111"/>
      <c r="AAK161" s="111"/>
      <c r="AAL161" s="111"/>
      <c r="AAM161" s="111"/>
      <c r="AAN161" s="111"/>
      <c r="AAO161" s="111"/>
      <c r="AAP161" s="111"/>
      <c r="AAQ161" s="111"/>
      <c r="AAR161" s="111"/>
      <c r="AAS161" s="111"/>
      <c r="AAT161" s="111"/>
      <c r="AAU161" s="111"/>
      <c r="AAV161" s="111"/>
      <c r="AAW161" s="111"/>
      <c r="AAX161" s="111"/>
      <c r="AAY161" s="111"/>
      <c r="AAZ161" s="111"/>
      <c r="ABA161" s="111"/>
      <c r="ABB161" s="111"/>
      <c r="ABC161" s="111"/>
      <c r="ABD161" s="111"/>
      <c r="ABE161" s="111"/>
      <c r="ABF161" s="111"/>
      <c r="ABG161" s="111"/>
      <c r="ABH161" s="111"/>
      <c r="ABI161" s="111"/>
      <c r="ABJ161" s="111"/>
      <c r="ABK161" s="111"/>
      <c r="ABL161" s="111"/>
      <c r="ABM161" s="111"/>
      <c r="ABN161" s="111"/>
      <c r="ABO161" s="111"/>
      <c r="ABP161" s="111"/>
      <c r="ABQ161" s="111"/>
      <c r="ABR161" s="111"/>
      <c r="ABS161" s="111"/>
      <c r="ABT161" s="111"/>
      <c r="ABU161" s="111"/>
      <c r="ABV161" s="111"/>
      <c r="ABW161" s="111"/>
      <c r="ABX161" s="111"/>
      <c r="ABY161" s="111"/>
      <c r="ABZ161" s="111"/>
      <c r="ACA161" s="111"/>
      <c r="ACB161" s="111"/>
      <c r="ACC161" s="111"/>
      <c r="ACD161" s="111"/>
      <c r="ACE161" s="111"/>
      <c r="ACF161" s="111"/>
      <c r="ACG161" s="111"/>
      <c r="ACH161" s="111"/>
      <c r="ACI161" s="111"/>
      <c r="ACJ161" s="111"/>
      <c r="ACK161" s="111"/>
      <c r="ACL161" s="111"/>
      <c r="ACM161" s="111"/>
      <c r="ACN161" s="111"/>
      <c r="ACO161" s="111"/>
      <c r="ACP161" s="111"/>
      <c r="ACQ161" s="111"/>
      <c r="ACR161" s="111"/>
      <c r="ACS161" s="111"/>
      <c r="ACT161" s="111"/>
      <c r="ACU161" s="111"/>
      <c r="ACV161" s="111"/>
      <c r="ACW161" s="111"/>
      <c r="ACX161" s="111"/>
      <c r="ACY161" s="111"/>
      <c r="ACZ161" s="111"/>
      <c r="ADA161" s="111"/>
      <c r="ADB161" s="111"/>
      <c r="ADC161" s="111"/>
      <c r="ADD161" s="111"/>
      <c r="ADE161" s="111"/>
      <c r="ADF161" s="111"/>
      <c r="ADG161" s="111"/>
      <c r="ADH161" s="111"/>
      <c r="ADI161" s="111"/>
      <c r="ADJ161" s="111"/>
      <c r="ADK161" s="111"/>
      <c r="ADL161" s="111"/>
      <c r="ADM161" s="111"/>
      <c r="ADN161" s="111"/>
      <c r="ADO161" s="111"/>
      <c r="ADP161" s="111"/>
      <c r="ADQ161" s="111"/>
      <c r="ADR161" s="111"/>
      <c r="ADS161" s="111"/>
      <c r="ADT161" s="111"/>
      <c r="ADU161" s="111"/>
      <c r="ADV161" s="111"/>
      <c r="ADW161" s="111"/>
      <c r="ADX161" s="111"/>
      <c r="ADY161" s="111"/>
      <c r="ADZ161" s="111"/>
      <c r="AEA161" s="111"/>
      <c r="AEB161" s="111"/>
      <c r="AEC161" s="111"/>
      <c r="AED161" s="111"/>
      <c r="AEE161" s="111"/>
      <c r="AEF161" s="111"/>
      <c r="AEG161" s="111"/>
      <c r="AEH161" s="111"/>
      <c r="AEI161" s="111"/>
      <c r="AEJ161" s="111"/>
      <c r="AEK161" s="111"/>
      <c r="AEL161" s="111"/>
      <c r="AEM161" s="111"/>
      <c r="AEN161" s="111"/>
      <c r="AEO161" s="111"/>
      <c r="AEP161" s="111"/>
      <c r="AEQ161" s="111"/>
      <c r="AER161" s="111"/>
      <c r="AES161" s="111"/>
      <c r="AET161" s="111"/>
      <c r="AEU161" s="111"/>
      <c r="AEV161" s="111"/>
      <c r="AEW161" s="111"/>
      <c r="AEX161" s="111"/>
      <c r="AEY161" s="111"/>
      <c r="AEZ161" s="111"/>
      <c r="AFA161" s="111"/>
      <c r="AFB161" s="111"/>
      <c r="AFC161" s="111"/>
      <c r="AFD161" s="111"/>
      <c r="AFE161" s="111"/>
      <c r="AFF161" s="111"/>
      <c r="AFG161" s="111"/>
      <c r="AFH161" s="111"/>
      <c r="AFI161" s="111"/>
      <c r="AFJ161" s="111"/>
      <c r="AFK161" s="111"/>
      <c r="AFL161" s="111"/>
      <c r="AFM161" s="111"/>
      <c r="AFN161" s="111"/>
      <c r="AFO161" s="111"/>
      <c r="AFP161" s="111"/>
      <c r="AFQ161" s="111"/>
      <c r="AFR161" s="111"/>
      <c r="AFS161" s="111"/>
      <c r="AFT161" s="111"/>
      <c r="AFU161" s="111"/>
      <c r="AFV161" s="111"/>
      <c r="AFW161" s="111"/>
      <c r="AFX161" s="111"/>
      <c r="AFY161" s="111"/>
      <c r="AFZ161" s="111"/>
      <c r="AGA161" s="111"/>
      <c r="AGB161" s="111"/>
      <c r="AGC161" s="111"/>
      <c r="AGD161" s="111"/>
      <c r="AGE161" s="111"/>
      <c r="AGF161" s="111"/>
      <c r="AGG161" s="111"/>
      <c r="AGH161" s="111"/>
      <c r="AGI161" s="111"/>
      <c r="AGJ161" s="111"/>
      <c r="AGK161" s="111"/>
      <c r="AGL161" s="111"/>
      <c r="AGM161" s="111"/>
      <c r="AGN161" s="111"/>
      <c r="AGO161" s="111"/>
      <c r="AGP161" s="111"/>
      <c r="AGQ161" s="111"/>
      <c r="AGR161" s="111"/>
      <c r="AGS161" s="111"/>
      <c r="AGT161" s="111"/>
      <c r="AGU161" s="111"/>
      <c r="AGV161" s="111"/>
      <c r="AGW161" s="111"/>
      <c r="AGX161" s="111"/>
      <c r="AGY161" s="111"/>
      <c r="AGZ161" s="111"/>
      <c r="AHA161" s="111"/>
      <c r="AHB161" s="111"/>
      <c r="AHC161" s="111"/>
      <c r="AHD161" s="111"/>
      <c r="AHE161" s="111"/>
      <c r="AHF161" s="111"/>
      <c r="AHG161" s="111"/>
      <c r="AHH161" s="111"/>
      <c r="AHI161" s="111"/>
      <c r="AHJ161" s="111"/>
      <c r="AHK161" s="111"/>
      <c r="AHL161" s="111"/>
      <c r="AHM161" s="111"/>
      <c r="AHN161" s="111"/>
      <c r="AHO161" s="111"/>
      <c r="AHP161" s="111"/>
      <c r="AHQ161" s="111"/>
      <c r="AHR161" s="111"/>
      <c r="AHS161" s="111"/>
      <c r="AHT161" s="111"/>
      <c r="AHU161" s="111"/>
      <c r="AHV161" s="111"/>
      <c r="AHW161" s="111"/>
      <c r="AHX161" s="111"/>
      <c r="AHY161" s="111"/>
      <c r="AHZ161" s="111"/>
      <c r="AIA161" s="111"/>
      <c r="AIB161" s="111"/>
      <c r="AIC161" s="111"/>
      <c r="AID161" s="111"/>
      <c r="AIE161" s="111"/>
      <c r="AIF161" s="111"/>
      <c r="AIG161" s="111"/>
      <c r="AIH161" s="111"/>
      <c r="AII161" s="111"/>
      <c r="AIJ161" s="111"/>
      <c r="AIK161" s="111"/>
      <c r="AIL161" s="111"/>
      <c r="AIM161" s="111"/>
      <c r="AIN161" s="111"/>
      <c r="AIO161" s="111"/>
      <c r="AIP161" s="111"/>
      <c r="AIQ161" s="111"/>
      <c r="AIR161" s="111"/>
      <c r="AIS161" s="111"/>
      <c r="AIT161" s="111"/>
      <c r="AIU161" s="111"/>
      <c r="AIV161" s="111"/>
      <c r="AIW161" s="111"/>
      <c r="AIX161" s="111"/>
      <c r="AIY161" s="111"/>
      <c r="AIZ161" s="111"/>
      <c r="AJA161" s="111"/>
      <c r="AJB161" s="111"/>
      <c r="AJC161" s="111"/>
      <c r="AJD161" s="111"/>
      <c r="AJE161" s="111"/>
      <c r="AJF161" s="111"/>
      <c r="AJG161" s="111"/>
      <c r="AJH161" s="111"/>
      <c r="AJI161" s="111"/>
      <c r="AJJ161" s="111"/>
      <c r="AJK161" s="111"/>
      <c r="AJL161" s="111"/>
      <c r="AJM161" s="111"/>
      <c r="AJN161" s="111"/>
      <c r="AJO161" s="111"/>
      <c r="AJP161" s="111"/>
      <c r="AJQ161" s="111"/>
      <c r="AJR161" s="111"/>
      <c r="AJS161" s="111"/>
      <c r="AJT161" s="111"/>
      <c r="AJU161" s="111"/>
      <c r="AJV161" s="111"/>
      <c r="AJW161" s="111"/>
      <c r="AJX161" s="111"/>
      <c r="AJY161" s="111"/>
      <c r="AJZ161" s="111"/>
      <c r="AKA161" s="111"/>
      <c r="AKB161" s="111"/>
      <c r="AKC161" s="111"/>
      <c r="AKD161" s="111"/>
      <c r="AKE161" s="111"/>
      <c r="AKF161" s="111"/>
      <c r="AKG161" s="111"/>
      <c r="AKH161" s="111"/>
      <c r="AKI161" s="111"/>
      <c r="AKJ161" s="111"/>
      <c r="AKK161" s="111"/>
      <c r="AKL161" s="111"/>
      <c r="AKM161" s="111"/>
      <c r="AKN161" s="111"/>
      <c r="AKO161" s="111"/>
      <c r="AKP161" s="111"/>
      <c r="AKQ161" s="111"/>
      <c r="AKR161" s="111"/>
      <c r="AKS161" s="111"/>
      <c r="AKT161" s="111"/>
      <c r="AKU161" s="111"/>
      <c r="AKV161" s="111"/>
      <c r="AKW161" s="111"/>
      <c r="AKX161" s="111"/>
      <c r="AKY161" s="111"/>
      <c r="AKZ161" s="111"/>
      <c r="ALA161" s="111"/>
      <c r="ALB161" s="111"/>
      <c r="ALC161" s="111"/>
      <c r="ALD161" s="111"/>
      <c r="ALE161" s="111"/>
      <c r="ALF161" s="111"/>
      <c r="ALG161" s="111"/>
      <c r="ALH161" s="111"/>
      <c r="ALI161" s="111"/>
      <c r="ALJ161" s="111"/>
      <c r="ALK161" s="111"/>
      <c r="ALL161" s="111"/>
      <c r="ALM161" s="111"/>
      <c r="ALN161" s="111"/>
      <c r="ALO161" s="111"/>
      <c r="ALP161" s="111"/>
      <c r="ALQ161" s="111"/>
      <c r="ALR161" s="111"/>
      <c r="ALS161" s="111"/>
      <c r="ALT161" s="111"/>
      <c r="ALU161" s="111"/>
      <c r="ALV161" s="111"/>
      <c r="ALW161" s="111"/>
      <c r="ALX161" s="111"/>
      <c r="ALY161" s="111"/>
      <c r="ALZ161" s="111"/>
      <c r="AMA161" s="111"/>
      <c r="AMB161" s="111"/>
      <c r="AMC161" s="111"/>
      <c r="AMD161" s="111"/>
      <c r="AME161" s="111"/>
      <c r="AMF161" s="111"/>
      <c r="AMG161" s="111"/>
      <c r="AMH161" s="111"/>
      <c r="AMI161" s="111"/>
      <c r="AMJ161" s="111"/>
      <c r="AMK161" s="111"/>
      <c r="AML161" s="111"/>
      <c r="AMM161" s="111"/>
      <c r="AMN161" s="111"/>
      <c r="AMO161" s="111"/>
      <c r="AMP161" s="111"/>
      <c r="AMQ161" s="111"/>
      <c r="AMR161" s="111"/>
      <c r="AMS161" s="111"/>
      <c r="AMT161" s="111"/>
      <c r="AMU161" s="111"/>
      <c r="AMV161" s="111"/>
      <c r="AMW161" s="111"/>
      <c r="AMX161" s="111"/>
      <c r="AMY161" s="111"/>
      <c r="AMZ161" s="111"/>
      <c r="ANA161" s="111"/>
      <c r="ANB161" s="111"/>
      <c r="ANC161" s="111"/>
      <c r="AND161" s="111"/>
      <c r="ANE161" s="111"/>
      <c r="ANF161" s="111"/>
      <c r="ANG161" s="111"/>
      <c r="ANH161" s="111"/>
      <c r="ANI161" s="111"/>
      <c r="ANJ161" s="111"/>
      <c r="ANK161" s="111"/>
      <c r="ANL161" s="111"/>
      <c r="ANM161" s="111"/>
      <c r="ANN161" s="111"/>
      <c r="ANO161" s="111"/>
      <c r="ANP161" s="111"/>
      <c r="ANQ161" s="111"/>
      <c r="ANR161" s="111"/>
      <c r="ANS161" s="111"/>
      <c r="ANT161" s="111"/>
      <c r="ANU161" s="111"/>
      <c r="ANV161" s="111"/>
      <c r="ANW161" s="111"/>
      <c r="ANX161" s="111"/>
      <c r="ANY161" s="111"/>
      <c r="ANZ161" s="111"/>
      <c r="AOA161" s="111"/>
      <c r="AOB161" s="111"/>
      <c r="AOC161" s="111"/>
      <c r="AOD161" s="111"/>
      <c r="AOE161" s="111"/>
      <c r="AOF161" s="111"/>
      <c r="AOG161" s="111"/>
      <c r="AOH161" s="111"/>
      <c r="AOI161" s="111"/>
      <c r="AOJ161" s="111"/>
      <c r="AOK161" s="111"/>
      <c r="AOL161" s="111"/>
      <c r="AOM161" s="111"/>
      <c r="AON161" s="111"/>
      <c r="AOO161" s="111"/>
      <c r="AOP161" s="111"/>
      <c r="AOQ161" s="111"/>
      <c r="AOR161" s="111"/>
      <c r="AOS161" s="111"/>
      <c r="AOT161" s="111"/>
      <c r="AOU161" s="111"/>
      <c r="AOV161" s="111"/>
      <c r="AOW161" s="111"/>
      <c r="AOX161" s="111"/>
      <c r="AOY161" s="111"/>
      <c r="AOZ161" s="111"/>
      <c r="APA161" s="111"/>
      <c r="APB161" s="111"/>
      <c r="APC161" s="111"/>
      <c r="APD161" s="111"/>
      <c r="APE161" s="111"/>
      <c r="APF161" s="111"/>
      <c r="APG161" s="111"/>
      <c r="APH161" s="111"/>
      <c r="API161" s="111"/>
      <c r="APJ161" s="111"/>
      <c r="APK161" s="111"/>
      <c r="APL161" s="111"/>
      <c r="APM161" s="111"/>
      <c r="APN161" s="111"/>
      <c r="APO161" s="111"/>
      <c r="APP161" s="111"/>
      <c r="APQ161" s="111"/>
      <c r="APR161" s="111"/>
      <c r="APS161" s="111"/>
      <c r="APT161" s="111"/>
      <c r="APU161" s="111"/>
      <c r="APV161" s="111"/>
      <c r="APW161" s="111"/>
      <c r="APX161" s="111"/>
      <c r="APY161" s="111"/>
      <c r="APZ161" s="111"/>
      <c r="AQA161" s="111"/>
      <c r="AQB161" s="111"/>
      <c r="AQC161" s="111"/>
      <c r="AQD161" s="111"/>
      <c r="AQE161" s="111"/>
      <c r="AQF161" s="111"/>
      <c r="AQG161" s="111"/>
      <c r="AQH161" s="111"/>
      <c r="AQI161" s="111"/>
      <c r="AQJ161" s="111"/>
      <c r="AQK161" s="111"/>
      <c r="AQL161" s="111"/>
      <c r="AQM161" s="111"/>
      <c r="AQN161" s="111"/>
      <c r="AQO161" s="111"/>
      <c r="AQP161" s="111"/>
      <c r="AQQ161" s="111"/>
      <c r="AQR161" s="111"/>
      <c r="AQS161" s="111"/>
      <c r="AQT161" s="111"/>
      <c r="AQU161" s="111"/>
      <c r="AQV161" s="111"/>
      <c r="AQW161" s="111"/>
      <c r="AQX161" s="111"/>
      <c r="AQY161" s="111"/>
      <c r="AQZ161" s="111"/>
      <c r="ARA161" s="111"/>
      <c r="ARB161" s="111"/>
      <c r="ARC161" s="111"/>
      <c r="ARD161" s="111"/>
      <c r="ARE161" s="111"/>
      <c r="ARF161" s="111"/>
      <c r="ARG161" s="111"/>
      <c r="ARH161" s="111"/>
      <c r="ARI161" s="111"/>
      <c r="ARJ161" s="111"/>
      <c r="ARK161" s="111"/>
      <c r="ARL161" s="111"/>
      <c r="ARM161" s="111"/>
      <c r="ARN161" s="111"/>
      <c r="ARO161" s="111"/>
      <c r="ARP161" s="111"/>
      <c r="ARQ161" s="111"/>
      <c r="ARR161" s="111"/>
      <c r="ARS161" s="111"/>
      <c r="ART161" s="111"/>
      <c r="ARU161" s="111"/>
      <c r="ARV161" s="111"/>
      <c r="ARW161" s="111"/>
      <c r="ARX161" s="111"/>
      <c r="ARY161" s="111"/>
      <c r="ARZ161" s="111"/>
      <c r="ASA161" s="111"/>
      <c r="ASB161" s="111"/>
      <c r="ASC161" s="111"/>
      <c r="ASD161" s="111"/>
      <c r="ASE161" s="111"/>
      <c r="ASF161" s="111"/>
      <c r="ASG161" s="111"/>
      <c r="ASH161" s="111"/>
      <c r="ASI161" s="111"/>
      <c r="ASJ161" s="111"/>
      <c r="ASK161" s="111"/>
      <c r="ASL161" s="111"/>
      <c r="ASM161" s="111"/>
      <c r="ASN161" s="111"/>
      <c r="ASO161" s="111"/>
      <c r="ASP161" s="111"/>
      <c r="ASQ161" s="111"/>
      <c r="ASR161" s="111"/>
      <c r="ASS161" s="111"/>
      <c r="AST161" s="111"/>
      <c r="ASU161" s="111"/>
      <c r="ASV161" s="111"/>
      <c r="ASW161" s="111"/>
      <c r="ASX161" s="111"/>
      <c r="ASY161" s="111"/>
      <c r="ASZ161" s="111"/>
      <c r="ATA161" s="111"/>
      <c r="ATB161" s="111"/>
      <c r="ATC161" s="111"/>
      <c r="ATD161" s="111"/>
      <c r="ATE161" s="111"/>
      <c r="ATF161" s="111"/>
      <c r="ATG161" s="111"/>
      <c r="ATH161" s="111"/>
      <c r="ATI161" s="111"/>
      <c r="ATJ161" s="111"/>
      <c r="ATK161" s="111"/>
      <c r="ATL161" s="111"/>
      <c r="ATM161" s="111"/>
      <c r="ATN161" s="111"/>
      <c r="ATO161" s="111"/>
      <c r="ATP161" s="111"/>
      <c r="ATQ161" s="111"/>
      <c r="ATR161" s="111"/>
      <c r="ATS161" s="111"/>
      <c r="ATT161" s="111"/>
      <c r="ATU161" s="111"/>
      <c r="ATV161" s="111"/>
      <c r="ATW161" s="111"/>
      <c r="ATX161" s="111"/>
      <c r="ATY161" s="111"/>
      <c r="ATZ161" s="111"/>
      <c r="AUA161" s="111"/>
      <c r="AUB161" s="111"/>
      <c r="AUC161" s="111"/>
      <c r="AUD161" s="111"/>
      <c r="AUE161" s="111"/>
      <c r="AUF161" s="111"/>
      <c r="AUG161" s="111"/>
      <c r="AUH161" s="111"/>
      <c r="AUI161" s="111"/>
      <c r="AUJ161" s="111"/>
      <c r="AUK161" s="111"/>
      <c r="AUL161" s="111"/>
      <c r="AUM161" s="111"/>
      <c r="AUN161" s="111"/>
      <c r="AUO161" s="111"/>
      <c r="AUP161" s="111"/>
      <c r="AUQ161" s="111"/>
      <c r="AUR161" s="111"/>
      <c r="AUS161" s="111"/>
      <c r="AUT161" s="111"/>
      <c r="AUU161" s="111"/>
      <c r="AUV161" s="111"/>
      <c r="AUW161" s="111"/>
      <c r="AUX161" s="111"/>
      <c r="AUY161" s="111"/>
      <c r="AUZ161" s="111"/>
      <c r="AVA161" s="111"/>
      <c r="AVB161" s="111"/>
      <c r="AVC161" s="111"/>
      <c r="AVD161" s="111"/>
      <c r="AVE161" s="111"/>
      <c r="AVF161" s="111"/>
      <c r="AVG161" s="111"/>
      <c r="AVH161" s="111"/>
      <c r="AVI161" s="111"/>
      <c r="AVJ161" s="111"/>
      <c r="AVK161" s="111"/>
      <c r="AVL161" s="111"/>
      <c r="AVM161" s="111"/>
      <c r="AVN161" s="111"/>
      <c r="AVO161" s="111"/>
      <c r="AVP161" s="111"/>
      <c r="AVQ161" s="111"/>
      <c r="AVR161" s="111"/>
      <c r="AVS161" s="111"/>
      <c r="AVT161" s="111"/>
      <c r="AVU161" s="111"/>
      <c r="AVV161" s="111"/>
      <c r="AVW161" s="111"/>
      <c r="AVX161" s="111"/>
      <c r="AVY161" s="111"/>
      <c r="AVZ161" s="111"/>
      <c r="AWA161" s="111"/>
      <c r="AWB161" s="111"/>
      <c r="AWC161" s="111"/>
      <c r="AWD161" s="111"/>
      <c r="AWE161" s="111"/>
      <c r="AWF161" s="111"/>
      <c r="AWG161" s="111"/>
      <c r="AWH161" s="111"/>
      <c r="AWI161" s="111"/>
      <c r="AWJ161" s="111"/>
      <c r="AWK161" s="111"/>
      <c r="AWL161" s="111"/>
      <c r="AWM161" s="111"/>
      <c r="AWN161" s="111"/>
      <c r="AWO161" s="111"/>
      <c r="AWP161" s="111"/>
      <c r="AWQ161" s="111"/>
      <c r="AWR161" s="111"/>
      <c r="AWS161" s="111"/>
      <c r="AWT161" s="111"/>
      <c r="AWU161" s="111"/>
      <c r="AWV161" s="111"/>
      <c r="AWW161" s="111"/>
      <c r="AWX161" s="111"/>
      <c r="AWY161" s="111"/>
      <c r="AWZ161" s="111"/>
      <c r="AXA161" s="111"/>
      <c r="AXB161" s="111"/>
      <c r="AXC161" s="111"/>
      <c r="AXD161" s="111"/>
      <c r="AXE161" s="111"/>
      <c r="AXF161" s="111"/>
      <c r="AXG161" s="111"/>
      <c r="AXH161" s="111"/>
      <c r="AXI161" s="111"/>
      <c r="AXJ161" s="111"/>
      <c r="AXK161" s="111"/>
      <c r="AXL161" s="111"/>
      <c r="AXM161" s="111"/>
      <c r="AXN161" s="111"/>
      <c r="AXO161" s="111"/>
      <c r="AXP161" s="111"/>
      <c r="AXQ161" s="111"/>
      <c r="AXR161" s="111"/>
      <c r="AXS161" s="111"/>
      <c r="AXT161" s="111"/>
      <c r="AXU161" s="111"/>
      <c r="AXV161" s="111"/>
      <c r="AXW161" s="111"/>
      <c r="AXX161" s="111"/>
      <c r="AXY161" s="111"/>
      <c r="AXZ161" s="111"/>
      <c r="AYA161" s="111"/>
      <c r="AYB161" s="111"/>
      <c r="AYC161" s="111"/>
      <c r="AYD161" s="111"/>
      <c r="AYE161" s="111"/>
      <c r="AYF161" s="111"/>
      <c r="AYG161" s="111"/>
      <c r="AYH161" s="111"/>
      <c r="AYI161" s="111"/>
      <c r="AYJ161" s="111"/>
      <c r="AYK161" s="111"/>
      <c r="AYL161" s="111"/>
      <c r="AYM161" s="111"/>
      <c r="AYN161" s="111"/>
      <c r="AYO161" s="111"/>
      <c r="AYP161" s="111"/>
      <c r="AYQ161" s="111"/>
      <c r="AYR161" s="111"/>
      <c r="AYS161" s="111"/>
      <c r="AYT161" s="111"/>
      <c r="AYU161" s="111"/>
      <c r="AYV161" s="111"/>
      <c r="AYW161" s="111"/>
      <c r="AYX161" s="111"/>
      <c r="AYY161" s="111"/>
      <c r="AYZ161" s="111"/>
      <c r="AZA161" s="111"/>
      <c r="AZB161" s="111"/>
      <c r="AZC161" s="111"/>
      <c r="AZD161" s="111"/>
      <c r="AZE161" s="111"/>
      <c r="AZF161" s="111"/>
      <c r="AZG161" s="111"/>
      <c r="AZH161" s="111"/>
      <c r="AZI161" s="111"/>
      <c r="AZJ161" s="111"/>
      <c r="AZK161" s="111"/>
      <c r="AZL161" s="111"/>
      <c r="AZM161" s="111"/>
      <c r="AZN161" s="111"/>
      <c r="AZO161" s="111"/>
      <c r="AZP161" s="111"/>
      <c r="AZQ161" s="111"/>
      <c r="AZR161" s="111"/>
      <c r="AZS161" s="111"/>
      <c r="AZT161" s="111"/>
      <c r="AZU161" s="111"/>
      <c r="AZV161" s="111"/>
      <c r="AZW161" s="111"/>
      <c r="AZX161" s="111"/>
      <c r="AZY161" s="111"/>
      <c r="AZZ161" s="111"/>
      <c r="BAA161" s="111"/>
      <c r="BAB161" s="111"/>
      <c r="BAC161" s="111"/>
      <c r="BAD161" s="111"/>
      <c r="BAE161" s="111"/>
      <c r="BAF161" s="111"/>
      <c r="BAG161" s="111"/>
      <c r="BAH161" s="111"/>
      <c r="BAI161" s="111"/>
      <c r="BAJ161" s="111"/>
      <c r="BAK161" s="111"/>
      <c r="BAL161" s="111"/>
      <c r="BAM161" s="111"/>
      <c r="BAN161" s="111"/>
      <c r="BAO161" s="111"/>
      <c r="BAP161" s="111"/>
      <c r="BAQ161" s="111"/>
      <c r="BAR161" s="111"/>
      <c r="BAS161" s="111"/>
      <c r="BAT161" s="111"/>
      <c r="BAU161" s="111"/>
      <c r="BAV161" s="111"/>
      <c r="BAW161" s="111"/>
      <c r="BAX161" s="111"/>
      <c r="BAY161" s="111"/>
      <c r="BAZ161" s="111"/>
      <c r="BBA161" s="111"/>
      <c r="BBB161" s="111"/>
      <c r="BBC161" s="111"/>
      <c r="BBD161" s="111"/>
      <c r="BBE161" s="111"/>
      <c r="BBF161" s="111"/>
      <c r="BBG161" s="111"/>
      <c r="BBH161" s="111"/>
      <c r="BBI161" s="111"/>
      <c r="BBJ161" s="111"/>
      <c r="BBK161" s="111"/>
      <c r="BBL161" s="111"/>
      <c r="BBM161" s="111"/>
      <c r="BBN161" s="111"/>
      <c r="BBO161" s="111"/>
      <c r="BBP161" s="111"/>
      <c r="BBQ161" s="111"/>
      <c r="BBR161" s="111"/>
      <c r="BBS161" s="111"/>
      <c r="BBT161" s="111"/>
      <c r="BBU161" s="111"/>
      <c r="BBV161" s="111"/>
      <c r="BBW161" s="111"/>
      <c r="BBX161" s="111"/>
      <c r="BBY161" s="111"/>
      <c r="BBZ161" s="111"/>
      <c r="BCA161" s="111"/>
      <c r="BCB161" s="111"/>
      <c r="BCC161" s="111"/>
      <c r="BCD161" s="111"/>
      <c r="BCE161" s="111"/>
      <c r="BCF161" s="111"/>
      <c r="BCG161" s="111"/>
      <c r="BCH161" s="111"/>
      <c r="BCI161" s="111"/>
      <c r="BCJ161" s="111"/>
      <c r="BCK161" s="111"/>
      <c r="BCL161" s="111"/>
      <c r="BCM161" s="111"/>
      <c r="BCN161" s="111"/>
      <c r="BCO161" s="111"/>
      <c r="BCP161" s="111"/>
      <c r="BCQ161" s="111"/>
      <c r="BCR161" s="111"/>
      <c r="BCS161" s="111"/>
      <c r="BCT161" s="111"/>
      <c r="BCU161" s="111"/>
      <c r="BCV161" s="111"/>
      <c r="BCW161" s="111"/>
      <c r="BCX161" s="111"/>
      <c r="BCY161" s="111"/>
      <c r="BCZ161" s="111"/>
      <c r="BDA161" s="111"/>
      <c r="BDB161" s="111"/>
      <c r="BDC161" s="111"/>
      <c r="BDD161" s="111"/>
      <c r="BDE161" s="111"/>
      <c r="BDF161" s="111"/>
      <c r="BDG161" s="111"/>
      <c r="BDH161" s="111"/>
      <c r="BDI161" s="111"/>
      <c r="BDJ161" s="111"/>
      <c r="BDK161" s="111"/>
      <c r="BDL161" s="111"/>
      <c r="BDM161" s="111"/>
      <c r="BDN161" s="111"/>
      <c r="BDO161" s="111"/>
      <c r="BDP161" s="111"/>
      <c r="BDQ161" s="111"/>
      <c r="BDR161" s="111"/>
      <c r="BDS161" s="111"/>
      <c r="BDT161" s="111"/>
      <c r="BDU161" s="111"/>
      <c r="BDV161" s="111"/>
      <c r="BDW161" s="111"/>
      <c r="BDX161" s="111"/>
      <c r="BDY161" s="111"/>
      <c r="BDZ161" s="111"/>
      <c r="BEA161" s="111"/>
      <c r="BEB161" s="111"/>
      <c r="BEC161" s="111"/>
      <c r="BED161" s="111"/>
      <c r="BEE161" s="111"/>
      <c r="BEF161" s="111"/>
      <c r="BEG161" s="111"/>
      <c r="BEH161" s="111"/>
      <c r="BEI161" s="111"/>
      <c r="BEJ161" s="111"/>
      <c r="BEK161" s="111"/>
      <c r="BEL161" s="111"/>
      <c r="BEM161" s="111"/>
      <c r="BEN161" s="111"/>
      <c r="BEO161" s="111"/>
      <c r="BEP161" s="111"/>
      <c r="BEQ161" s="111"/>
      <c r="BER161" s="111"/>
      <c r="BES161" s="111"/>
      <c r="BET161" s="111"/>
      <c r="BEU161" s="111"/>
      <c r="BEV161" s="111"/>
      <c r="BEW161" s="111"/>
      <c r="BEX161" s="111"/>
      <c r="BEY161" s="111"/>
      <c r="BEZ161" s="111"/>
      <c r="BFA161" s="111"/>
      <c r="BFB161" s="111"/>
      <c r="BFC161" s="111"/>
      <c r="BFD161" s="111"/>
      <c r="BFE161" s="111"/>
      <c r="BFF161" s="111"/>
      <c r="BFG161" s="111"/>
      <c r="BFH161" s="111"/>
      <c r="BFI161" s="111"/>
      <c r="BFJ161" s="111"/>
      <c r="BFK161" s="111"/>
      <c r="BFL161" s="111"/>
      <c r="BFM161" s="111"/>
      <c r="BFN161" s="111"/>
      <c r="BFO161" s="111"/>
      <c r="BFP161" s="111"/>
      <c r="BFQ161" s="111"/>
      <c r="BFR161" s="111"/>
      <c r="BFS161" s="111"/>
      <c r="BFT161" s="111"/>
      <c r="BFU161" s="111"/>
      <c r="BFV161" s="111"/>
      <c r="BFW161" s="111"/>
      <c r="BFX161" s="111"/>
      <c r="BFY161" s="111"/>
      <c r="BFZ161" s="111"/>
      <c r="BGA161" s="111"/>
      <c r="BGB161" s="111"/>
      <c r="BGC161" s="111"/>
      <c r="BGD161" s="111"/>
      <c r="BGE161" s="111"/>
      <c r="BGF161" s="111"/>
      <c r="BGG161" s="111"/>
      <c r="BGH161" s="111"/>
      <c r="BGI161" s="111"/>
      <c r="BGJ161" s="111"/>
      <c r="BGK161" s="111"/>
      <c r="BGL161" s="111"/>
      <c r="BGM161" s="111"/>
      <c r="BGN161" s="111"/>
      <c r="BGO161" s="111"/>
      <c r="BGP161" s="111"/>
      <c r="BGQ161" s="111"/>
      <c r="BGR161" s="111"/>
      <c r="BGS161" s="111"/>
      <c r="BGT161" s="111"/>
      <c r="BGU161" s="111"/>
      <c r="BGV161" s="111"/>
      <c r="BGW161" s="111"/>
      <c r="BGX161" s="111"/>
      <c r="BGY161" s="111"/>
      <c r="BGZ161" s="111"/>
      <c r="BHA161" s="111"/>
      <c r="BHB161" s="111"/>
      <c r="BHC161" s="111"/>
      <c r="BHD161" s="111"/>
      <c r="BHE161" s="111"/>
      <c r="BHF161" s="111"/>
      <c r="BHG161" s="111"/>
      <c r="BHH161" s="111"/>
      <c r="BHI161" s="111"/>
      <c r="BHJ161" s="111"/>
      <c r="BHK161" s="111"/>
      <c r="BHL161" s="111"/>
      <c r="BHM161" s="111"/>
      <c r="BHN161" s="111"/>
      <c r="BHO161" s="111"/>
      <c r="BHP161" s="111"/>
      <c r="BHQ161" s="111"/>
      <c r="BHR161" s="111"/>
      <c r="BHS161" s="111"/>
      <c r="BHT161" s="111"/>
      <c r="BHU161" s="111"/>
      <c r="BHV161" s="111"/>
      <c r="BHW161" s="111"/>
      <c r="BHX161" s="111"/>
      <c r="BHY161" s="111"/>
      <c r="BHZ161" s="111"/>
      <c r="BIA161" s="111"/>
      <c r="BIB161" s="111"/>
      <c r="BIC161" s="111"/>
      <c r="BID161" s="111"/>
      <c r="BIE161" s="111"/>
      <c r="BIF161" s="111"/>
      <c r="BIG161" s="111"/>
      <c r="BIH161" s="111"/>
      <c r="BII161" s="111"/>
      <c r="BIJ161" s="111"/>
      <c r="BIK161" s="111"/>
      <c r="BIL161" s="111"/>
      <c r="BIM161" s="111"/>
      <c r="BIN161" s="111"/>
      <c r="BIO161" s="111"/>
      <c r="BIP161" s="111"/>
      <c r="BIQ161" s="111"/>
      <c r="BIR161" s="111"/>
      <c r="BIS161" s="111"/>
      <c r="BIT161" s="111"/>
      <c r="BIU161" s="111"/>
      <c r="BIV161" s="111"/>
      <c r="BIW161" s="111"/>
      <c r="BIX161" s="111"/>
      <c r="BIY161" s="111"/>
      <c r="BIZ161" s="111"/>
      <c r="BJA161" s="111"/>
      <c r="BJB161" s="111"/>
      <c r="BJC161" s="111"/>
      <c r="BJD161" s="111"/>
      <c r="BJE161" s="111"/>
      <c r="BJF161" s="111"/>
      <c r="BJG161" s="111"/>
      <c r="BJH161" s="111"/>
      <c r="BJI161" s="111"/>
      <c r="BJJ161" s="111"/>
      <c r="BJK161" s="111"/>
      <c r="BJL161" s="111"/>
      <c r="BJM161" s="111"/>
      <c r="BJN161" s="111"/>
      <c r="BJO161" s="111"/>
      <c r="BJP161" s="111"/>
      <c r="BJQ161" s="111"/>
      <c r="BJR161" s="111"/>
      <c r="BJS161" s="111"/>
      <c r="BJT161" s="111"/>
      <c r="BJU161" s="111"/>
      <c r="BJV161" s="111"/>
      <c r="BJW161" s="111"/>
      <c r="BJX161" s="111"/>
      <c r="BJY161" s="111"/>
      <c r="BJZ161" s="111"/>
      <c r="BKA161" s="111"/>
      <c r="BKB161" s="111"/>
      <c r="BKC161" s="111"/>
      <c r="BKD161" s="111"/>
      <c r="BKE161" s="111"/>
      <c r="BKF161" s="111"/>
      <c r="BKG161" s="111"/>
      <c r="BKH161" s="111"/>
      <c r="BKI161" s="111"/>
      <c r="BKJ161" s="111"/>
      <c r="BKK161" s="111"/>
      <c r="BKL161" s="111"/>
      <c r="BKM161" s="111"/>
      <c r="BKN161" s="111"/>
      <c r="BKO161" s="111"/>
      <c r="BKP161" s="111"/>
      <c r="BKQ161" s="111"/>
      <c r="BKR161" s="111"/>
      <c r="BKS161" s="111"/>
      <c r="BKT161" s="111"/>
      <c r="BKU161" s="111"/>
      <c r="BKV161" s="111"/>
      <c r="BKW161" s="111"/>
      <c r="BKX161" s="111"/>
      <c r="BKY161" s="111"/>
      <c r="BKZ161" s="111"/>
      <c r="BLA161" s="111"/>
      <c r="BLB161" s="111"/>
      <c r="BLC161" s="111"/>
      <c r="BLD161" s="111"/>
      <c r="BLE161" s="111"/>
      <c r="BLF161" s="111"/>
      <c r="BLG161" s="111"/>
      <c r="BLH161" s="111"/>
      <c r="BLI161" s="111"/>
      <c r="BLJ161" s="111"/>
      <c r="BLK161" s="111"/>
      <c r="BLL161" s="111"/>
      <c r="BLM161" s="111"/>
      <c r="BLN161" s="111"/>
      <c r="BLO161" s="111"/>
      <c r="BLP161" s="111"/>
      <c r="BLQ161" s="111"/>
      <c r="BLR161" s="111"/>
      <c r="BLS161" s="111"/>
      <c r="BLT161" s="111"/>
      <c r="BLU161" s="111"/>
      <c r="BLV161" s="111"/>
      <c r="BLW161" s="111"/>
      <c r="BLX161" s="111"/>
      <c r="BLY161" s="111"/>
      <c r="BLZ161" s="111"/>
      <c r="BMA161" s="111"/>
      <c r="BMB161" s="111"/>
      <c r="BMC161" s="111"/>
      <c r="BMD161" s="111"/>
      <c r="BME161" s="111"/>
      <c r="BMF161" s="111"/>
      <c r="BMG161" s="111"/>
      <c r="BMH161" s="111"/>
      <c r="BMI161" s="111"/>
      <c r="BMJ161" s="111"/>
      <c r="BMK161" s="111"/>
      <c r="BML161" s="111"/>
      <c r="BMM161" s="111"/>
      <c r="BMN161" s="111"/>
      <c r="BMO161" s="111"/>
      <c r="BMP161" s="111"/>
      <c r="BMQ161" s="111"/>
      <c r="BMR161" s="111"/>
      <c r="BMS161" s="111"/>
      <c r="BMT161" s="111"/>
      <c r="BMU161" s="111"/>
      <c r="BMV161" s="111"/>
      <c r="BMW161" s="111"/>
      <c r="BMX161" s="111"/>
      <c r="BMY161" s="111"/>
      <c r="BMZ161" s="111"/>
      <c r="BNA161" s="111"/>
      <c r="BNB161" s="111"/>
      <c r="BNC161" s="111"/>
      <c r="BND161" s="111"/>
      <c r="BNE161" s="111"/>
      <c r="BNF161" s="111"/>
      <c r="BNG161" s="111"/>
      <c r="BNH161" s="111"/>
      <c r="BNI161" s="111"/>
      <c r="BNJ161" s="111"/>
      <c r="BNK161" s="111"/>
      <c r="BNL161" s="111"/>
      <c r="BNM161" s="111"/>
      <c r="BNN161" s="111"/>
      <c r="BNO161" s="111"/>
      <c r="BNP161" s="111"/>
      <c r="BNQ161" s="111"/>
      <c r="BNR161" s="111"/>
      <c r="BNS161" s="111"/>
      <c r="BNT161" s="111"/>
      <c r="BNU161" s="111"/>
      <c r="BNV161" s="111"/>
      <c r="BNW161" s="111"/>
      <c r="BNX161" s="111"/>
      <c r="BNY161" s="111"/>
      <c r="BNZ161" s="111"/>
      <c r="BOA161" s="111"/>
      <c r="BOB161" s="111"/>
      <c r="BOC161" s="111"/>
      <c r="BOD161" s="111"/>
      <c r="BOE161" s="111"/>
      <c r="BOF161" s="111"/>
      <c r="BOG161" s="111"/>
      <c r="BOH161" s="111"/>
      <c r="BOI161" s="111"/>
      <c r="BOJ161" s="111"/>
      <c r="BOK161" s="111"/>
      <c r="BOL161" s="111"/>
      <c r="BOM161" s="111"/>
      <c r="BON161" s="111"/>
      <c r="BOO161" s="111"/>
      <c r="BOP161" s="111"/>
      <c r="BOQ161" s="111"/>
      <c r="BOR161" s="111"/>
      <c r="BOS161" s="111"/>
      <c r="BOT161" s="111"/>
      <c r="BOU161" s="111"/>
      <c r="BOV161" s="111"/>
      <c r="BOW161" s="111"/>
      <c r="BOX161" s="111"/>
      <c r="BOY161" s="111"/>
      <c r="BOZ161" s="111"/>
      <c r="BPA161" s="111"/>
      <c r="BPB161" s="111"/>
      <c r="BPC161" s="111"/>
      <c r="BPD161" s="111"/>
      <c r="BPE161" s="111"/>
      <c r="BPF161" s="111"/>
      <c r="BPG161" s="111"/>
      <c r="BPH161" s="111"/>
      <c r="BPI161" s="111"/>
      <c r="BPJ161" s="111"/>
      <c r="BPK161" s="111"/>
      <c r="BPL161" s="111"/>
      <c r="BPM161" s="111"/>
      <c r="BPN161" s="111"/>
      <c r="BPO161" s="111"/>
      <c r="BPP161" s="111"/>
      <c r="BPQ161" s="111"/>
      <c r="BPR161" s="111"/>
      <c r="BPS161" s="111"/>
      <c r="BPT161" s="111"/>
      <c r="BPU161" s="111"/>
      <c r="BPV161" s="111"/>
      <c r="BPW161" s="111"/>
      <c r="BPX161" s="111"/>
      <c r="BPY161" s="111"/>
      <c r="BPZ161" s="111"/>
      <c r="BQA161" s="111"/>
      <c r="BQB161" s="111"/>
      <c r="BQC161" s="111"/>
      <c r="BQD161" s="111"/>
      <c r="BQE161" s="111"/>
      <c r="BQF161" s="111"/>
      <c r="BQG161" s="111"/>
      <c r="BQH161" s="111"/>
      <c r="BQI161" s="111"/>
      <c r="BQJ161" s="111"/>
      <c r="BQK161" s="111"/>
      <c r="BQL161" s="111"/>
      <c r="BQM161" s="111"/>
      <c r="BQN161" s="111"/>
      <c r="BQO161" s="111"/>
      <c r="BQP161" s="111"/>
      <c r="BQQ161" s="111"/>
      <c r="BQR161" s="111"/>
      <c r="BQS161" s="111"/>
      <c r="BQT161" s="111"/>
      <c r="BQU161" s="111"/>
      <c r="BQV161" s="111"/>
      <c r="BQW161" s="111"/>
      <c r="BQX161" s="111"/>
      <c r="BQY161" s="111"/>
      <c r="BQZ161" s="111"/>
      <c r="BRA161" s="111"/>
      <c r="BRB161" s="111"/>
      <c r="BRC161" s="111"/>
      <c r="BRD161" s="111"/>
      <c r="BRE161" s="111"/>
      <c r="BRF161" s="111"/>
      <c r="BRG161" s="111"/>
      <c r="BRH161" s="111"/>
      <c r="BRI161" s="111"/>
      <c r="BRJ161" s="111"/>
      <c r="BRK161" s="111"/>
      <c r="BRL161" s="111"/>
      <c r="BRM161" s="111"/>
      <c r="BRN161" s="111"/>
      <c r="BRO161" s="111"/>
      <c r="BRP161" s="111"/>
      <c r="BRQ161" s="111"/>
      <c r="BRR161" s="111"/>
      <c r="BRS161" s="111"/>
      <c r="BRT161" s="111"/>
      <c r="BRU161" s="111"/>
      <c r="BRV161" s="111"/>
      <c r="BRW161" s="111"/>
      <c r="BRX161" s="111"/>
      <c r="BRY161" s="111"/>
      <c r="BRZ161" s="111"/>
      <c r="BSA161" s="111"/>
      <c r="BSB161" s="111"/>
      <c r="BSC161" s="111"/>
      <c r="BSD161" s="111"/>
      <c r="BSE161" s="111"/>
      <c r="BSF161" s="111"/>
      <c r="BSG161" s="111"/>
      <c r="BSH161" s="111"/>
      <c r="BSI161" s="111"/>
      <c r="BSJ161" s="111"/>
      <c r="BSK161" s="111"/>
      <c r="BSL161" s="111"/>
      <c r="BSM161" s="111"/>
      <c r="BSN161" s="111"/>
      <c r="BSO161" s="111"/>
      <c r="BSP161" s="111"/>
      <c r="BSQ161" s="111"/>
      <c r="BSR161" s="111"/>
      <c r="BSS161" s="111"/>
      <c r="BST161" s="111"/>
      <c r="BSU161" s="111"/>
      <c r="BSV161" s="111"/>
      <c r="BSW161" s="111"/>
      <c r="BSX161" s="111"/>
      <c r="BSY161" s="111"/>
      <c r="BSZ161" s="111"/>
      <c r="BTA161" s="111"/>
      <c r="BTB161" s="111"/>
      <c r="BTC161" s="111"/>
      <c r="BTD161" s="111"/>
      <c r="BTE161" s="111"/>
      <c r="BTF161" s="111"/>
      <c r="BTG161" s="111"/>
      <c r="BTH161" s="111"/>
      <c r="BTI161" s="111"/>
      <c r="BTJ161" s="111"/>
      <c r="BTK161" s="111"/>
      <c r="BTL161" s="111"/>
      <c r="BTM161" s="111"/>
      <c r="BTN161" s="111"/>
      <c r="BTO161" s="111"/>
      <c r="BTP161" s="111"/>
      <c r="BTQ161" s="111"/>
      <c r="BTR161" s="111"/>
      <c r="BTS161" s="111"/>
      <c r="BTT161" s="111"/>
      <c r="BTU161" s="111"/>
      <c r="BTV161" s="111"/>
      <c r="BTW161" s="111"/>
      <c r="BTX161" s="111"/>
      <c r="BTY161" s="111"/>
      <c r="BTZ161" s="111"/>
      <c r="BUA161" s="111"/>
      <c r="BUB161" s="111"/>
      <c r="BUC161" s="111"/>
      <c r="BUD161" s="111"/>
      <c r="BUE161" s="111"/>
      <c r="BUF161" s="111"/>
      <c r="BUG161" s="111"/>
      <c r="BUH161" s="111"/>
      <c r="BUI161" s="111"/>
      <c r="BUJ161" s="111"/>
      <c r="BUK161" s="111"/>
      <c r="BUL161" s="111"/>
      <c r="BUM161" s="111"/>
      <c r="BUN161" s="111"/>
      <c r="BUO161" s="111"/>
      <c r="BUP161" s="111"/>
      <c r="BUQ161" s="111"/>
      <c r="BUR161" s="111"/>
      <c r="BUS161" s="111"/>
      <c r="BUT161" s="111"/>
      <c r="BUU161" s="111"/>
      <c r="BUV161" s="111"/>
      <c r="BUW161" s="111"/>
      <c r="BUX161" s="111"/>
      <c r="BUY161" s="111"/>
      <c r="BUZ161" s="111"/>
      <c r="BVA161" s="111"/>
      <c r="BVB161" s="111"/>
      <c r="BVC161" s="111"/>
      <c r="BVD161" s="111"/>
      <c r="BVE161" s="111"/>
      <c r="BVF161" s="111"/>
      <c r="BVG161" s="111"/>
      <c r="BVH161" s="111"/>
      <c r="BVI161" s="111"/>
      <c r="BVJ161" s="111"/>
      <c r="BVK161" s="111"/>
      <c r="BVL161" s="111"/>
      <c r="BVM161" s="111"/>
      <c r="BVN161" s="111"/>
      <c r="BVO161" s="111"/>
      <c r="BVP161" s="111"/>
      <c r="BVQ161" s="111"/>
      <c r="BVR161" s="111"/>
      <c r="BVS161" s="111"/>
      <c r="BVT161" s="111"/>
      <c r="BVU161" s="111"/>
      <c r="BVV161" s="111"/>
      <c r="BVW161" s="111"/>
      <c r="BVX161" s="111"/>
      <c r="BVY161" s="111"/>
      <c r="BVZ161" s="111"/>
      <c r="BWA161" s="111"/>
      <c r="BWB161" s="111"/>
      <c r="BWC161" s="111"/>
      <c r="BWD161" s="111"/>
      <c r="BWE161" s="111"/>
      <c r="BWF161" s="111"/>
      <c r="BWG161" s="111"/>
      <c r="BWH161" s="111"/>
      <c r="BWI161" s="111"/>
      <c r="BWJ161" s="111"/>
      <c r="BWK161" s="111"/>
      <c r="BWL161" s="111"/>
      <c r="BWM161" s="111"/>
      <c r="BWN161" s="111"/>
      <c r="BWO161" s="111"/>
      <c r="BWP161" s="111"/>
      <c r="BWQ161" s="111"/>
      <c r="BWR161" s="111"/>
      <c r="BWS161" s="111"/>
      <c r="BWT161" s="111"/>
      <c r="BWU161" s="111"/>
      <c r="BWV161" s="111"/>
      <c r="BWW161" s="111"/>
      <c r="BWX161" s="111"/>
      <c r="BWY161" s="111"/>
      <c r="BWZ161" s="111"/>
      <c r="BXA161" s="111"/>
      <c r="BXB161" s="111"/>
      <c r="BXC161" s="111"/>
      <c r="BXD161" s="111"/>
      <c r="BXE161" s="111"/>
      <c r="BXF161" s="111"/>
      <c r="BXG161" s="111"/>
      <c r="BXH161" s="111"/>
      <c r="BXI161" s="111"/>
      <c r="BXJ161" s="111"/>
      <c r="BXK161" s="111"/>
      <c r="BXL161" s="111"/>
      <c r="BXM161" s="111"/>
      <c r="BXN161" s="111"/>
      <c r="BXO161" s="111"/>
      <c r="BXP161" s="111"/>
      <c r="BXQ161" s="111"/>
      <c r="BXR161" s="111"/>
      <c r="BXS161" s="111"/>
      <c r="BXT161" s="111"/>
      <c r="BXU161" s="111"/>
      <c r="BXV161" s="111"/>
      <c r="BXW161" s="111"/>
      <c r="BXX161" s="111"/>
      <c r="BXY161" s="111"/>
      <c r="BXZ161" s="111"/>
      <c r="BYA161" s="111"/>
      <c r="BYB161" s="111"/>
      <c r="BYC161" s="111"/>
      <c r="BYD161" s="111"/>
      <c r="BYE161" s="111"/>
      <c r="BYF161" s="111"/>
      <c r="BYG161" s="111"/>
      <c r="BYH161" s="111"/>
      <c r="BYI161" s="111"/>
      <c r="BYJ161" s="111"/>
      <c r="BYK161" s="111"/>
      <c r="BYL161" s="111"/>
      <c r="BYM161" s="111"/>
      <c r="BYN161" s="111"/>
      <c r="BYO161" s="111"/>
      <c r="BYP161" s="111"/>
      <c r="BYQ161" s="111"/>
      <c r="BYR161" s="111"/>
      <c r="BYS161" s="111"/>
      <c r="BYT161" s="111"/>
      <c r="BYU161" s="111"/>
      <c r="BYV161" s="111"/>
      <c r="BYW161" s="111"/>
      <c r="BYX161" s="111"/>
      <c r="BYY161" s="111"/>
      <c r="BYZ161" s="111"/>
      <c r="BZA161" s="111"/>
      <c r="BZB161" s="111"/>
      <c r="BZC161" s="111"/>
      <c r="BZD161" s="111"/>
      <c r="BZE161" s="111"/>
      <c r="BZF161" s="111"/>
      <c r="BZG161" s="111"/>
      <c r="BZH161" s="111"/>
      <c r="BZI161" s="111"/>
      <c r="BZJ161" s="111"/>
      <c r="BZK161" s="111"/>
      <c r="BZL161" s="111"/>
      <c r="BZM161" s="111"/>
      <c r="BZN161" s="111"/>
      <c r="BZO161" s="111"/>
      <c r="BZP161" s="111"/>
      <c r="BZQ161" s="111"/>
      <c r="BZR161" s="111"/>
      <c r="BZS161" s="111"/>
      <c r="BZT161" s="111"/>
      <c r="BZU161" s="111"/>
      <c r="BZV161" s="111"/>
      <c r="BZW161" s="111"/>
      <c r="BZX161" s="111"/>
      <c r="BZY161" s="111"/>
      <c r="BZZ161" s="111"/>
      <c r="CAA161" s="111"/>
      <c r="CAB161" s="111"/>
      <c r="CAC161" s="111"/>
      <c r="CAD161" s="111"/>
      <c r="CAE161" s="111"/>
      <c r="CAF161" s="111"/>
      <c r="CAG161" s="111"/>
      <c r="CAH161" s="111"/>
      <c r="CAI161" s="111"/>
      <c r="CAJ161" s="111"/>
      <c r="CAK161" s="111"/>
      <c r="CAL161" s="111"/>
      <c r="CAM161" s="111"/>
      <c r="CAN161" s="111"/>
      <c r="CAO161" s="111"/>
      <c r="CAP161" s="111"/>
      <c r="CAQ161" s="111"/>
      <c r="CAR161" s="111"/>
      <c r="CAS161" s="111"/>
      <c r="CAT161" s="111"/>
      <c r="CAU161" s="111"/>
      <c r="CAV161" s="111"/>
      <c r="CAW161" s="111"/>
      <c r="CAX161" s="111"/>
      <c r="CAY161" s="111"/>
      <c r="CAZ161" s="111"/>
      <c r="CBA161" s="111"/>
      <c r="CBB161" s="111"/>
      <c r="CBC161" s="111"/>
      <c r="CBD161" s="111"/>
      <c r="CBE161" s="111"/>
      <c r="CBF161" s="111"/>
      <c r="CBG161" s="111"/>
      <c r="CBH161" s="111"/>
      <c r="CBI161" s="111"/>
      <c r="CBJ161" s="111"/>
      <c r="CBK161" s="111"/>
      <c r="CBL161" s="111"/>
      <c r="CBM161" s="111"/>
      <c r="CBN161" s="111"/>
      <c r="CBO161" s="111"/>
      <c r="CBP161" s="111"/>
      <c r="CBQ161" s="111"/>
      <c r="CBR161" s="111"/>
      <c r="CBS161" s="111"/>
      <c r="CBT161" s="111"/>
      <c r="CBU161" s="111"/>
      <c r="CBV161" s="111"/>
      <c r="CBW161" s="111"/>
      <c r="CBX161" s="111"/>
      <c r="CBY161" s="111"/>
      <c r="CBZ161" s="111"/>
      <c r="CCA161" s="111"/>
      <c r="CCB161" s="111"/>
      <c r="CCC161" s="111"/>
      <c r="CCD161" s="111"/>
      <c r="CCE161" s="111"/>
      <c r="CCF161" s="111"/>
      <c r="CCG161" s="111"/>
      <c r="CCH161" s="111"/>
      <c r="CCI161" s="111"/>
      <c r="CCJ161" s="111"/>
      <c r="CCK161" s="111"/>
      <c r="CCL161" s="111"/>
      <c r="CCM161" s="111"/>
      <c r="CCN161" s="111"/>
      <c r="CCO161" s="111"/>
      <c r="CCP161" s="111"/>
      <c r="CCQ161" s="111"/>
      <c r="CCR161" s="111"/>
      <c r="CCS161" s="111"/>
      <c r="CCT161" s="111"/>
      <c r="CCU161" s="111"/>
      <c r="CCV161" s="111"/>
      <c r="CCW161" s="111"/>
      <c r="CCX161" s="111"/>
      <c r="CCY161" s="111"/>
      <c r="CCZ161" s="111"/>
      <c r="CDA161" s="111"/>
      <c r="CDB161" s="111"/>
      <c r="CDC161" s="111"/>
      <c r="CDD161" s="111"/>
      <c r="CDE161" s="111"/>
      <c r="CDF161" s="111"/>
      <c r="CDG161" s="111"/>
      <c r="CDH161" s="111"/>
      <c r="CDI161" s="111"/>
      <c r="CDJ161" s="111"/>
      <c r="CDK161" s="111"/>
      <c r="CDL161" s="111"/>
      <c r="CDM161" s="111"/>
      <c r="CDN161" s="111"/>
      <c r="CDO161" s="111"/>
      <c r="CDP161" s="111"/>
      <c r="CDQ161" s="111"/>
      <c r="CDR161" s="111"/>
      <c r="CDS161" s="111"/>
      <c r="CDT161" s="111"/>
      <c r="CDU161" s="111"/>
      <c r="CDV161" s="111"/>
      <c r="CDW161" s="111"/>
      <c r="CDX161" s="111"/>
      <c r="CDY161" s="111"/>
      <c r="CDZ161" s="111"/>
      <c r="CEA161" s="111"/>
      <c r="CEB161" s="111"/>
      <c r="CEC161" s="111"/>
      <c r="CED161" s="111"/>
      <c r="CEE161" s="111"/>
      <c r="CEF161" s="111"/>
      <c r="CEG161" s="111"/>
      <c r="CEH161" s="111"/>
      <c r="CEI161" s="111"/>
      <c r="CEJ161" s="111"/>
      <c r="CEK161" s="111"/>
      <c r="CEL161" s="111"/>
      <c r="CEM161" s="111"/>
      <c r="CEN161" s="111"/>
      <c r="CEO161" s="111"/>
      <c r="CEP161" s="111"/>
      <c r="CEQ161" s="111"/>
      <c r="CER161" s="111"/>
      <c r="CES161" s="111"/>
      <c r="CET161" s="111"/>
      <c r="CEU161" s="111"/>
      <c r="CEV161" s="111"/>
      <c r="CEW161" s="111"/>
      <c r="CEX161" s="111"/>
      <c r="CEY161" s="111"/>
      <c r="CEZ161" s="111"/>
      <c r="CFA161" s="111"/>
      <c r="CFB161" s="111"/>
      <c r="CFC161" s="111"/>
      <c r="CFD161" s="111"/>
      <c r="CFE161" s="111"/>
      <c r="CFF161" s="111"/>
      <c r="CFG161" s="111"/>
      <c r="CFH161" s="111"/>
      <c r="CFI161" s="111"/>
      <c r="CFJ161" s="111"/>
      <c r="CFK161" s="111"/>
      <c r="CFL161" s="111"/>
      <c r="CFM161" s="111"/>
      <c r="CFN161" s="111"/>
      <c r="CFO161" s="111"/>
      <c r="CFP161" s="111"/>
      <c r="CFQ161" s="111"/>
      <c r="CFR161" s="111"/>
      <c r="CFS161" s="111"/>
      <c r="CFT161" s="111"/>
      <c r="CFU161" s="111"/>
      <c r="CFV161" s="111"/>
      <c r="CFW161" s="111"/>
      <c r="CFX161" s="111"/>
      <c r="CFY161" s="111"/>
      <c r="CFZ161" s="111"/>
      <c r="CGA161" s="111"/>
      <c r="CGB161" s="111"/>
      <c r="CGC161" s="111"/>
      <c r="CGD161" s="111"/>
      <c r="CGE161" s="111"/>
      <c r="CGF161" s="111"/>
      <c r="CGG161" s="111"/>
      <c r="CGH161" s="111"/>
      <c r="CGI161" s="111"/>
      <c r="CGJ161" s="111"/>
      <c r="CGK161" s="111"/>
      <c r="CGL161" s="111"/>
      <c r="CGM161" s="111"/>
      <c r="CGN161" s="111"/>
      <c r="CGO161" s="111"/>
      <c r="CGP161" s="111"/>
      <c r="CGQ161" s="111"/>
      <c r="CGR161" s="111"/>
      <c r="CGS161" s="111"/>
      <c r="CGT161" s="111"/>
      <c r="CGU161" s="111"/>
      <c r="CGV161" s="111"/>
      <c r="CGW161" s="111"/>
      <c r="CGX161" s="111"/>
      <c r="CGY161" s="111"/>
      <c r="CGZ161" s="111"/>
      <c r="CHA161" s="111"/>
      <c r="CHB161" s="111"/>
      <c r="CHC161" s="111"/>
      <c r="CHD161" s="111"/>
      <c r="CHE161" s="111"/>
      <c r="CHF161" s="111"/>
      <c r="CHG161" s="111"/>
      <c r="CHH161" s="111"/>
      <c r="CHI161" s="111"/>
      <c r="CHJ161" s="111"/>
      <c r="CHK161" s="111"/>
      <c r="CHL161" s="111"/>
      <c r="CHM161" s="111"/>
      <c r="CHN161" s="111"/>
      <c r="CHO161" s="111"/>
      <c r="CHP161" s="111"/>
      <c r="CHQ161" s="111"/>
      <c r="CHR161" s="111"/>
      <c r="CHS161" s="111"/>
      <c r="CHT161" s="111"/>
      <c r="CHU161" s="111"/>
      <c r="CHV161" s="111"/>
      <c r="CHW161" s="111"/>
      <c r="CHX161" s="111"/>
      <c r="CHY161" s="111"/>
      <c r="CHZ161" s="111"/>
      <c r="CIA161" s="111"/>
      <c r="CIB161" s="111"/>
      <c r="CIC161" s="111"/>
      <c r="CID161" s="111"/>
      <c r="CIE161" s="111"/>
      <c r="CIF161" s="111"/>
      <c r="CIG161" s="111"/>
      <c r="CIH161" s="111"/>
      <c r="CII161" s="111"/>
      <c r="CIJ161" s="111"/>
      <c r="CIK161" s="111"/>
      <c r="CIL161" s="111"/>
      <c r="CIM161" s="111"/>
      <c r="CIN161" s="111"/>
      <c r="CIO161" s="111"/>
      <c r="CIP161" s="111"/>
      <c r="CIQ161" s="111"/>
      <c r="CIR161" s="111"/>
      <c r="CIS161" s="111"/>
      <c r="CIT161" s="111"/>
      <c r="CIU161" s="111"/>
      <c r="CIV161" s="111"/>
      <c r="CIW161" s="111"/>
      <c r="CIX161" s="111"/>
      <c r="CIY161" s="111"/>
      <c r="CIZ161" s="111"/>
      <c r="CJA161" s="111"/>
      <c r="CJB161" s="111"/>
      <c r="CJC161" s="111"/>
      <c r="CJD161" s="111"/>
      <c r="CJE161" s="111"/>
      <c r="CJF161" s="111"/>
      <c r="CJG161" s="111"/>
      <c r="CJH161" s="111"/>
      <c r="CJI161" s="111"/>
      <c r="CJJ161" s="111"/>
      <c r="CJK161" s="111"/>
      <c r="CJL161" s="111"/>
      <c r="CJM161" s="111"/>
      <c r="CJN161" s="111"/>
      <c r="CJO161" s="111"/>
      <c r="CJP161" s="111"/>
      <c r="CJQ161" s="111"/>
      <c r="CJR161" s="111"/>
      <c r="CJS161" s="111"/>
      <c r="CJT161" s="111"/>
      <c r="CJU161" s="111"/>
      <c r="CJV161" s="111"/>
      <c r="CJW161" s="111"/>
      <c r="CJX161" s="111"/>
      <c r="CJY161" s="111"/>
      <c r="CJZ161" s="111"/>
      <c r="CKA161" s="111"/>
      <c r="CKB161" s="111"/>
      <c r="CKC161" s="111"/>
      <c r="CKD161" s="111"/>
      <c r="CKE161" s="111"/>
      <c r="CKF161" s="111"/>
      <c r="CKG161" s="111"/>
      <c r="CKH161" s="111"/>
      <c r="CKI161" s="111"/>
      <c r="CKJ161" s="111"/>
      <c r="CKK161" s="111"/>
      <c r="CKL161" s="111"/>
      <c r="CKM161" s="111"/>
      <c r="CKN161" s="111"/>
      <c r="CKO161" s="111"/>
      <c r="CKP161" s="111"/>
      <c r="CKQ161" s="111"/>
      <c r="CKR161" s="111"/>
      <c r="CKS161" s="111"/>
      <c r="CKT161" s="111"/>
      <c r="CKU161" s="111"/>
      <c r="CKV161" s="111"/>
      <c r="CKW161" s="111"/>
      <c r="CKX161" s="111"/>
      <c r="CKY161" s="111"/>
      <c r="CKZ161" s="111"/>
      <c r="CLA161" s="111"/>
      <c r="CLB161" s="111"/>
      <c r="CLC161" s="111"/>
      <c r="CLD161" s="111"/>
      <c r="CLE161" s="111"/>
      <c r="CLF161" s="111"/>
      <c r="CLG161" s="111"/>
      <c r="CLH161" s="111"/>
      <c r="CLI161" s="111"/>
      <c r="CLJ161" s="111"/>
      <c r="CLK161" s="111"/>
      <c r="CLL161" s="111"/>
      <c r="CLM161" s="111"/>
      <c r="CLN161" s="111"/>
      <c r="CLO161" s="111"/>
      <c r="CLP161" s="111"/>
      <c r="CLQ161" s="111"/>
      <c r="CLR161" s="111"/>
      <c r="CLS161" s="111"/>
      <c r="CLT161" s="111"/>
      <c r="CLU161" s="111"/>
      <c r="CLV161" s="111"/>
      <c r="CLW161" s="111"/>
      <c r="CLX161" s="111"/>
      <c r="CLY161" s="111"/>
      <c r="CLZ161" s="111"/>
      <c r="CMA161" s="111"/>
      <c r="CMB161" s="111"/>
      <c r="CMC161" s="111"/>
      <c r="CMD161" s="111"/>
      <c r="CME161" s="111"/>
      <c r="CMF161" s="111"/>
      <c r="CMG161" s="111"/>
      <c r="CMH161" s="111"/>
      <c r="CMI161" s="111"/>
      <c r="CMJ161" s="111"/>
      <c r="CMK161" s="111"/>
      <c r="CML161" s="111"/>
      <c r="CMM161" s="111"/>
      <c r="CMN161" s="111"/>
      <c r="CMO161" s="111"/>
      <c r="CMP161" s="111"/>
      <c r="CMQ161" s="111"/>
      <c r="CMR161" s="111"/>
      <c r="CMS161" s="111"/>
      <c r="CMT161" s="111"/>
      <c r="CMU161" s="111"/>
      <c r="CMV161" s="111"/>
      <c r="CMW161" s="111"/>
      <c r="CMX161" s="111"/>
      <c r="CMY161" s="111"/>
      <c r="CMZ161" s="111"/>
      <c r="CNA161" s="111"/>
      <c r="CNB161" s="111"/>
      <c r="CNC161" s="111"/>
      <c r="CND161" s="111"/>
      <c r="CNE161" s="111"/>
      <c r="CNF161" s="111"/>
      <c r="CNG161" s="111"/>
      <c r="CNH161" s="111"/>
      <c r="CNI161" s="111"/>
      <c r="CNJ161" s="111"/>
      <c r="CNK161" s="111"/>
      <c r="CNL161" s="111"/>
      <c r="CNM161" s="111"/>
      <c r="CNN161" s="111"/>
      <c r="CNO161" s="111"/>
      <c r="CNP161" s="111"/>
      <c r="CNQ161" s="111"/>
      <c r="CNR161" s="111"/>
      <c r="CNS161" s="111"/>
      <c r="CNT161" s="111"/>
      <c r="CNU161" s="111"/>
      <c r="CNV161" s="111"/>
      <c r="CNW161" s="111"/>
      <c r="CNX161" s="111"/>
      <c r="CNY161" s="111"/>
      <c r="CNZ161" s="111"/>
      <c r="COA161" s="111"/>
      <c r="COB161" s="111"/>
      <c r="COC161" s="111"/>
      <c r="COD161" s="111"/>
      <c r="COE161" s="111"/>
      <c r="COF161" s="111"/>
      <c r="COG161" s="111"/>
      <c r="COH161" s="111"/>
      <c r="COI161" s="111"/>
      <c r="COJ161" s="111"/>
      <c r="COK161" s="111"/>
      <c r="COL161" s="111"/>
      <c r="COM161" s="111"/>
      <c r="CON161" s="111"/>
      <c r="COO161" s="111"/>
      <c r="COP161" s="111"/>
      <c r="COQ161" s="111"/>
      <c r="COR161" s="111"/>
      <c r="COS161" s="111"/>
      <c r="COT161" s="111"/>
      <c r="COU161" s="111"/>
      <c r="COV161" s="111"/>
      <c r="COW161" s="111"/>
      <c r="COX161" s="111"/>
      <c r="COY161" s="111"/>
      <c r="COZ161" s="111"/>
      <c r="CPA161" s="111"/>
      <c r="CPB161" s="111"/>
      <c r="CPC161" s="111"/>
      <c r="CPD161" s="111"/>
      <c r="CPE161" s="111"/>
      <c r="CPF161" s="111"/>
      <c r="CPG161" s="111"/>
      <c r="CPH161" s="111"/>
      <c r="CPI161" s="111"/>
      <c r="CPJ161" s="111"/>
      <c r="CPK161" s="111"/>
      <c r="CPL161" s="111"/>
      <c r="CPM161" s="111"/>
      <c r="CPN161" s="111"/>
      <c r="CPO161" s="111"/>
      <c r="CPP161" s="111"/>
      <c r="CPQ161" s="111"/>
      <c r="CPR161" s="111"/>
      <c r="CPS161" s="111"/>
      <c r="CPT161" s="111"/>
      <c r="CPU161" s="111"/>
      <c r="CPV161" s="111"/>
      <c r="CPW161" s="111"/>
      <c r="CPX161" s="111"/>
      <c r="CPY161" s="111"/>
      <c r="CPZ161" s="111"/>
      <c r="CQA161" s="111"/>
      <c r="CQB161" s="111"/>
      <c r="CQC161" s="111"/>
      <c r="CQD161" s="111"/>
      <c r="CQE161" s="111"/>
      <c r="CQF161" s="111"/>
      <c r="CQG161" s="111"/>
      <c r="CQH161" s="111"/>
      <c r="CQI161" s="111"/>
      <c r="CQJ161" s="111"/>
      <c r="CQK161" s="111"/>
      <c r="CQL161" s="111"/>
      <c r="CQM161" s="111"/>
      <c r="CQN161" s="111"/>
      <c r="CQO161" s="111"/>
      <c r="CQP161" s="111"/>
      <c r="CQQ161" s="111"/>
      <c r="CQR161" s="111"/>
      <c r="CQS161" s="111"/>
      <c r="CQT161" s="111"/>
      <c r="CQU161" s="111"/>
      <c r="CQV161" s="111"/>
      <c r="CQW161" s="111"/>
      <c r="CQX161" s="111"/>
      <c r="CQY161" s="111"/>
      <c r="CQZ161" s="111"/>
      <c r="CRA161" s="111"/>
      <c r="CRB161" s="111"/>
      <c r="CRC161" s="111"/>
      <c r="CRD161" s="111"/>
      <c r="CRE161" s="111"/>
      <c r="CRF161" s="111"/>
      <c r="CRG161" s="111"/>
      <c r="CRH161" s="111"/>
      <c r="CRI161" s="111"/>
      <c r="CRJ161" s="111"/>
      <c r="CRK161" s="111"/>
      <c r="CRL161" s="111"/>
      <c r="CRM161" s="111"/>
      <c r="CRN161" s="111"/>
      <c r="CRO161" s="111"/>
      <c r="CRP161" s="111"/>
      <c r="CRQ161" s="111"/>
      <c r="CRR161" s="111"/>
      <c r="CRS161" s="111"/>
      <c r="CRT161" s="111"/>
      <c r="CRU161" s="111"/>
      <c r="CRV161" s="111"/>
      <c r="CRW161" s="111"/>
      <c r="CRX161" s="111"/>
      <c r="CRY161" s="111"/>
      <c r="CRZ161" s="111"/>
      <c r="CSA161" s="111"/>
      <c r="CSB161" s="111"/>
      <c r="CSC161" s="111"/>
      <c r="CSD161" s="111"/>
      <c r="CSE161" s="111"/>
      <c r="CSF161" s="111"/>
      <c r="CSG161" s="111"/>
      <c r="CSH161" s="111"/>
      <c r="CSI161" s="111"/>
      <c r="CSJ161" s="111"/>
      <c r="CSK161" s="111"/>
      <c r="CSL161" s="111"/>
      <c r="CSM161" s="111"/>
      <c r="CSN161" s="111"/>
      <c r="CSO161" s="111"/>
      <c r="CSP161" s="111"/>
      <c r="CSQ161" s="111"/>
      <c r="CSR161" s="111"/>
      <c r="CSS161" s="111"/>
      <c r="CST161" s="111"/>
      <c r="CSU161" s="111"/>
      <c r="CSV161" s="111"/>
      <c r="CSW161" s="111"/>
      <c r="CSX161" s="111"/>
      <c r="CSY161" s="111"/>
      <c r="CSZ161" s="111"/>
      <c r="CTA161" s="111"/>
      <c r="CTB161" s="111"/>
      <c r="CTC161" s="111"/>
      <c r="CTD161" s="111"/>
      <c r="CTE161" s="111"/>
      <c r="CTF161" s="111"/>
      <c r="CTG161" s="111"/>
      <c r="CTH161" s="111"/>
      <c r="CTI161" s="111"/>
      <c r="CTJ161" s="111"/>
      <c r="CTK161" s="111"/>
      <c r="CTL161" s="111"/>
      <c r="CTM161" s="111"/>
      <c r="CTN161" s="111"/>
      <c r="CTO161" s="111"/>
      <c r="CTP161" s="111"/>
      <c r="CTQ161" s="111"/>
      <c r="CTR161" s="111"/>
      <c r="CTS161" s="111"/>
      <c r="CTT161" s="111"/>
      <c r="CTU161" s="111"/>
      <c r="CTV161" s="111"/>
      <c r="CTW161" s="111"/>
      <c r="CTX161" s="111"/>
      <c r="CTY161" s="111"/>
      <c r="CTZ161" s="111"/>
      <c r="CUA161" s="111"/>
      <c r="CUB161" s="111"/>
      <c r="CUC161" s="111"/>
      <c r="CUD161" s="111"/>
      <c r="CUE161" s="111"/>
      <c r="CUF161" s="111"/>
      <c r="CUG161" s="111"/>
      <c r="CUH161" s="111"/>
      <c r="CUI161" s="111"/>
      <c r="CUJ161" s="111"/>
      <c r="CUK161" s="111"/>
      <c r="CUL161" s="111"/>
      <c r="CUM161" s="111"/>
      <c r="CUN161" s="111"/>
      <c r="CUO161" s="111"/>
      <c r="CUP161" s="111"/>
      <c r="CUQ161" s="111"/>
      <c r="CUR161" s="111"/>
      <c r="CUS161" s="111"/>
      <c r="CUT161" s="111"/>
      <c r="CUU161" s="111"/>
      <c r="CUV161" s="111"/>
      <c r="CUW161" s="111"/>
      <c r="CUX161" s="111"/>
      <c r="CUY161" s="111"/>
      <c r="CUZ161" s="111"/>
      <c r="CVA161" s="111"/>
      <c r="CVB161" s="111"/>
      <c r="CVC161" s="111"/>
      <c r="CVD161" s="111"/>
      <c r="CVE161" s="111"/>
      <c r="CVF161" s="111"/>
      <c r="CVG161" s="111"/>
      <c r="CVH161" s="111"/>
      <c r="CVI161" s="111"/>
      <c r="CVJ161" s="111"/>
      <c r="CVK161" s="111"/>
      <c r="CVL161" s="111"/>
      <c r="CVM161" s="111"/>
      <c r="CVN161" s="111"/>
      <c r="CVO161" s="111"/>
      <c r="CVP161" s="111"/>
      <c r="CVQ161" s="111"/>
      <c r="CVR161" s="111"/>
      <c r="CVS161" s="111"/>
      <c r="CVT161" s="111"/>
      <c r="CVU161" s="111"/>
      <c r="CVV161" s="111"/>
      <c r="CVW161" s="111"/>
      <c r="CVX161" s="111"/>
      <c r="CVY161" s="111"/>
      <c r="CVZ161" s="111"/>
      <c r="CWA161" s="111"/>
      <c r="CWB161" s="111"/>
      <c r="CWC161" s="111"/>
      <c r="CWD161" s="111"/>
      <c r="CWE161" s="111"/>
      <c r="CWF161" s="111"/>
      <c r="CWG161" s="111"/>
      <c r="CWH161" s="111"/>
      <c r="CWI161" s="111"/>
      <c r="CWJ161" s="111"/>
      <c r="CWK161" s="111"/>
      <c r="CWL161" s="111"/>
      <c r="CWM161" s="111"/>
      <c r="CWN161" s="111"/>
      <c r="CWO161" s="111"/>
      <c r="CWP161" s="111"/>
      <c r="CWQ161" s="111"/>
      <c r="CWR161" s="111"/>
      <c r="CWS161" s="111"/>
      <c r="CWT161" s="111"/>
      <c r="CWU161" s="111"/>
      <c r="CWV161" s="111"/>
      <c r="CWW161" s="111"/>
      <c r="CWX161" s="111"/>
      <c r="CWY161" s="111"/>
      <c r="CWZ161" s="111"/>
      <c r="CXA161" s="111"/>
      <c r="CXB161" s="111"/>
      <c r="CXC161" s="111"/>
      <c r="CXD161" s="111"/>
      <c r="CXE161" s="111"/>
      <c r="CXF161" s="111"/>
      <c r="CXG161" s="111"/>
      <c r="CXH161" s="111"/>
      <c r="CXI161" s="111"/>
      <c r="CXJ161" s="111"/>
      <c r="CXK161" s="111"/>
      <c r="CXL161" s="111"/>
      <c r="CXM161" s="111"/>
      <c r="CXN161" s="111"/>
      <c r="CXO161" s="111"/>
      <c r="CXP161" s="111"/>
      <c r="CXQ161" s="111"/>
      <c r="CXR161" s="111"/>
      <c r="CXS161" s="111"/>
      <c r="CXT161" s="111"/>
      <c r="CXU161" s="111"/>
      <c r="CXV161" s="111"/>
      <c r="CXW161" s="111"/>
      <c r="CXX161" s="111"/>
      <c r="CXY161" s="111"/>
      <c r="CXZ161" s="111"/>
      <c r="CYA161" s="111"/>
      <c r="CYB161" s="111"/>
      <c r="CYC161" s="111"/>
      <c r="CYD161" s="111"/>
      <c r="CYE161" s="111"/>
      <c r="CYF161" s="111"/>
      <c r="CYG161" s="111"/>
      <c r="CYH161" s="111"/>
      <c r="CYI161" s="111"/>
      <c r="CYJ161" s="111"/>
      <c r="CYK161" s="111"/>
      <c r="CYL161" s="111"/>
      <c r="CYM161" s="111"/>
      <c r="CYN161" s="111"/>
      <c r="CYO161" s="111"/>
      <c r="CYP161" s="111"/>
      <c r="CYQ161" s="111"/>
      <c r="CYR161" s="111"/>
      <c r="CYS161" s="111"/>
      <c r="CYT161" s="111"/>
      <c r="CYU161" s="111"/>
      <c r="CYV161" s="111"/>
      <c r="CYW161" s="111"/>
      <c r="CYX161" s="111"/>
      <c r="CYY161" s="111"/>
      <c r="CYZ161" s="111"/>
      <c r="CZA161" s="111"/>
      <c r="CZB161" s="111"/>
      <c r="CZC161" s="111"/>
      <c r="CZD161" s="111"/>
      <c r="CZE161" s="111"/>
      <c r="CZF161" s="111"/>
      <c r="CZG161" s="111"/>
      <c r="CZH161" s="111"/>
      <c r="CZI161" s="111"/>
      <c r="CZJ161" s="111"/>
      <c r="CZK161" s="111"/>
      <c r="CZL161" s="111"/>
      <c r="CZM161" s="111"/>
      <c r="CZN161" s="111"/>
      <c r="CZO161" s="111"/>
      <c r="CZP161" s="111"/>
      <c r="CZQ161" s="111"/>
      <c r="CZR161" s="111"/>
      <c r="CZS161" s="111"/>
      <c r="CZT161" s="111"/>
      <c r="CZU161" s="111"/>
      <c r="CZV161" s="111"/>
      <c r="CZW161" s="111"/>
      <c r="CZX161" s="111"/>
      <c r="CZY161" s="111"/>
      <c r="CZZ161" s="111"/>
      <c r="DAA161" s="111"/>
      <c r="DAB161" s="111"/>
      <c r="DAC161" s="111"/>
      <c r="DAD161" s="111"/>
      <c r="DAE161" s="111"/>
      <c r="DAF161" s="111"/>
      <c r="DAG161" s="111"/>
      <c r="DAH161" s="111"/>
      <c r="DAI161" s="111"/>
      <c r="DAJ161" s="111"/>
      <c r="DAK161" s="111"/>
      <c r="DAL161" s="111"/>
      <c r="DAM161" s="111"/>
      <c r="DAN161" s="111"/>
      <c r="DAO161" s="111"/>
      <c r="DAP161" s="111"/>
      <c r="DAQ161" s="111"/>
      <c r="DAR161" s="111"/>
      <c r="DAS161" s="111"/>
      <c r="DAT161" s="111"/>
      <c r="DAU161" s="111"/>
      <c r="DAV161" s="111"/>
      <c r="DAW161" s="111"/>
      <c r="DAX161" s="111"/>
      <c r="DAY161" s="111"/>
      <c r="DAZ161" s="111"/>
      <c r="DBA161" s="111"/>
      <c r="DBB161" s="111"/>
      <c r="DBC161" s="111"/>
      <c r="DBD161" s="111"/>
      <c r="DBE161" s="111"/>
      <c r="DBF161" s="111"/>
      <c r="DBG161" s="111"/>
      <c r="DBH161" s="111"/>
      <c r="DBI161" s="111"/>
      <c r="DBJ161" s="111"/>
      <c r="DBK161" s="111"/>
      <c r="DBL161" s="111"/>
      <c r="DBM161" s="111"/>
      <c r="DBN161" s="111"/>
      <c r="DBO161" s="111"/>
      <c r="DBP161" s="111"/>
      <c r="DBQ161" s="111"/>
      <c r="DBR161" s="111"/>
      <c r="DBS161" s="111"/>
      <c r="DBT161" s="111"/>
      <c r="DBU161" s="111"/>
      <c r="DBV161" s="111"/>
      <c r="DBW161" s="111"/>
      <c r="DBX161" s="111"/>
      <c r="DBY161" s="111"/>
      <c r="DBZ161" s="111"/>
      <c r="DCA161" s="111"/>
      <c r="DCB161" s="111"/>
      <c r="DCC161" s="111"/>
      <c r="DCD161" s="111"/>
      <c r="DCE161" s="111"/>
      <c r="DCF161" s="111"/>
      <c r="DCG161" s="111"/>
      <c r="DCH161" s="111"/>
      <c r="DCI161" s="111"/>
      <c r="DCJ161" s="111"/>
      <c r="DCK161" s="111"/>
      <c r="DCL161" s="111"/>
      <c r="DCM161" s="111"/>
      <c r="DCN161" s="111"/>
      <c r="DCO161" s="111"/>
      <c r="DCP161" s="111"/>
      <c r="DCQ161" s="111"/>
      <c r="DCR161" s="111"/>
      <c r="DCS161" s="111"/>
      <c r="DCT161" s="111"/>
      <c r="DCU161" s="111"/>
      <c r="DCV161" s="111"/>
      <c r="DCW161" s="111"/>
      <c r="DCX161" s="111"/>
      <c r="DCY161" s="111"/>
      <c r="DCZ161" s="111"/>
      <c r="DDA161" s="111"/>
      <c r="DDB161" s="111"/>
      <c r="DDC161" s="111"/>
      <c r="DDD161" s="111"/>
      <c r="DDE161" s="111"/>
      <c r="DDF161" s="111"/>
      <c r="DDG161" s="111"/>
      <c r="DDH161" s="111"/>
      <c r="DDI161" s="111"/>
      <c r="DDJ161" s="111"/>
      <c r="DDK161" s="111"/>
      <c r="DDL161" s="111"/>
      <c r="DDM161" s="111"/>
      <c r="DDN161" s="111"/>
      <c r="DDO161" s="111"/>
      <c r="DDP161" s="111"/>
      <c r="DDQ161" s="111"/>
      <c r="DDR161" s="111"/>
      <c r="DDS161" s="111"/>
      <c r="DDT161" s="111"/>
      <c r="DDU161" s="111"/>
      <c r="DDV161" s="111"/>
      <c r="DDW161" s="111"/>
      <c r="DDX161" s="111"/>
      <c r="DDY161" s="111"/>
      <c r="DDZ161" s="111"/>
      <c r="DEA161" s="111"/>
      <c r="DEB161" s="111"/>
      <c r="DEC161" s="111"/>
      <c r="DED161" s="111"/>
      <c r="DEE161" s="111"/>
      <c r="DEF161" s="111"/>
      <c r="DEG161" s="111"/>
      <c r="DEH161" s="111"/>
      <c r="DEI161" s="111"/>
      <c r="DEJ161" s="111"/>
      <c r="DEK161" s="111"/>
      <c r="DEL161" s="111"/>
      <c r="DEM161" s="111"/>
      <c r="DEN161" s="111"/>
      <c r="DEO161" s="111"/>
      <c r="DEP161" s="111"/>
      <c r="DEQ161" s="111"/>
      <c r="DER161" s="111"/>
      <c r="DES161" s="111"/>
      <c r="DET161" s="111"/>
      <c r="DEU161" s="111"/>
      <c r="DEV161" s="111"/>
      <c r="DEW161" s="111"/>
      <c r="DEX161" s="111"/>
      <c r="DEY161" s="111"/>
      <c r="DEZ161" s="111"/>
      <c r="DFA161" s="111"/>
      <c r="DFB161" s="111"/>
      <c r="DFC161" s="111"/>
      <c r="DFD161" s="111"/>
      <c r="DFE161" s="111"/>
      <c r="DFF161" s="111"/>
      <c r="DFG161" s="111"/>
      <c r="DFH161" s="111"/>
      <c r="DFI161" s="111"/>
      <c r="DFJ161" s="111"/>
      <c r="DFK161" s="111"/>
      <c r="DFL161" s="111"/>
      <c r="DFM161" s="111"/>
      <c r="DFN161" s="111"/>
      <c r="DFO161" s="111"/>
      <c r="DFP161" s="111"/>
      <c r="DFQ161" s="111"/>
      <c r="DFR161" s="111"/>
      <c r="DFS161" s="111"/>
      <c r="DFT161" s="111"/>
      <c r="DFU161" s="111"/>
      <c r="DFV161" s="111"/>
      <c r="DFW161" s="111"/>
      <c r="DFX161" s="111"/>
      <c r="DFY161" s="111"/>
      <c r="DFZ161" s="111"/>
      <c r="DGA161" s="111"/>
      <c r="DGB161" s="111"/>
      <c r="DGC161" s="111"/>
      <c r="DGD161" s="111"/>
      <c r="DGE161" s="111"/>
      <c r="DGF161" s="111"/>
      <c r="DGG161" s="111"/>
      <c r="DGH161" s="111"/>
      <c r="DGI161" s="111"/>
      <c r="DGJ161" s="111"/>
      <c r="DGK161" s="111"/>
      <c r="DGL161" s="111"/>
      <c r="DGM161" s="111"/>
      <c r="DGN161" s="111"/>
      <c r="DGO161" s="111"/>
      <c r="DGP161" s="111"/>
      <c r="DGQ161" s="111"/>
      <c r="DGR161" s="111"/>
      <c r="DGS161" s="111"/>
      <c r="DGT161" s="111"/>
      <c r="DGU161" s="111"/>
      <c r="DGV161" s="111"/>
      <c r="DGW161" s="111"/>
      <c r="DGX161" s="111"/>
      <c r="DGY161" s="111"/>
      <c r="DGZ161" s="111"/>
      <c r="DHA161" s="111"/>
      <c r="DHB161" s="111"/>
      <c r="DHC161" s="111"/>
      <c r="DHD161" s="111"/>
      <c r="DHE161" s="111"/>
      <c r="DHF161" s="111"/>
      <c r="DHG161" s="111"/>
      <c r="DHH161" s="111"/>
      <c r="DHI161" s="111"/>
      <c r="DHJ161" s="111"/>
      <c r="DHK161" s="111"/>
      <c r="DHL161" s="111"/>
      <c r="DHM161" s="111"/>
      <c r="DHN161" s="111"/>
      <c r="DHO161" s="111"/>
      <c r="DHP161" s="111"/>
      <c r="DHQ161" s="111"/>
      <c r="DHR161" s="111"/>
      <c r="DHS161" s="111"/>
      <c r="DHT161" s="111"/>
      <c r="DHU161" s="111"/>
      <c r="DHV161" s="111"/>
      <c r="DHW161" s="111"/>
      <c r="DHX161" s="111"/>
      <c r="DHY161" s="111"/>
      <c r="DHZ161" s="111"/>
      <c r="DIA161" s="111"/>
      <c r="DIB161" s="111"/>
      <c r="DIC161" s="111"/>
      <c r="DID161" s="111"/>
      <c r="DIE161" s="111"/>
      <c r="DIF161" s="111"/>
      <c r="DIG161" s="111"/>
      <c r="DIH161" s="111"/>
      <c r="DII161" s="111"/>
      <c r="DIJ161" s="111"/>
      <c r="DIK161" s="111"/>
      <c r="DIL161" s="111"/>
      <c r="DIM161" s="111"/>
      <c r="DIN161" s="111"/>
      <c r="DIO161" s="111"/>
      <c r="DIP161" s="111"/>
      <c r="DIQ161" s="111"/>
      <c r="DIR161" s="111"/>
      <c r="DIS161" s="111"/>
      <c r="DIT161" s="111"/>
      <c r="DIU161" s="111"/>
      <c r="DIV161" s="111"/>
      <c r="DIW161" s="111"/>
      <c r="DIX161" s="111"/>
      <c r="DIY161" s="111"/>
      <c r="DIZ161" s="111"/>
      <c r="DJA161" s="111"/>
      <c r="DJB161" s="111"/>
      <c r="DJC161" s="111"/>
      <c r="DJD161" s="111"/>
      <c r="DJE161" s="111"/>
      <c r="DJF161" s="111"/>
      <c r="DJG161" s="111"/>
      <c r="DJH161" s="111"/>
      <c r="DJI161" s="111"/>
      <c r="DJJ161" s="111"/>
      <c r="DJK161" s="111"/>
      <c r="DJL161" s="111"/>
      <c r="DJM161" s="111"/>
      <c r="DJN161" s="111"/>
      <c r="DJO161" s="111"/>
      <c r="DJP161" s="111"/>
      <c r="DJQ161" s="111"/>
      <c r="DJR161" s="111"/>
      <c r="DJS161" s="111"/>
      <c r="DJT161" s="111"/>
      <c r="DJU161" s="111"/>
      <c r="DJV161" s="111"/>
      <c r="DJW161" s="111"/>
      <c r="DJX161" s="111"/>
      <c r="DJY161" s="111"/>
      <c r="DJZ161" s="111"/>
      <c r="DKA161" s="111"/>
      <c r="DKB161" s="111"/>
      <c r="DKC161" s="111"/>
      <c r="DKD161" s="111"/>
      <c r="DKE161" s="111"/>
      <c r="DKF161" s="111"/>
      <c r="DKG161" s="111"/>
      <c r="DKH161" s="111"/>
      <c r="DKI161" s="111"/>
      <c r="DKJ161" s="111"/>
      <c r="DKK161" s="111"/>
      <c r="DKL161" s="111"/>
      <c r="DKM161" s="111"/>
      <c r="DKN161" s="111"/>
      <c r="DKO161" s="111"/>
      <c r="DKP161" s="111"/>
      <c r="DKQ161" s="111"/>
      <c r="DKR161" s="111"/>
      <c r="DKS161" s="111"/>
      <c r="DKT161" s="111"/>
      <c r="DKU161" s="111"/>
      <c r="DKV161" s="111"/>
      <c r="DKW161" s="111"/>
      <c r="DKX161" s="111"/>
      <c r="DKY161" s="111"/>
      <c r="DKZ161" s="111"/>
      <c r="DLA161" s="111"/>
      <c r="DLB161" s="111"/>
      <c r="DLC161" s="111"/>
      <c r="DLD161" s="111"/>
      <c r="DLE161" s="111"/>
      <c r="DLF161" s="111"/>
      <c r="DLG161" s="111"/>
      <c r="DLH161" s="111"/>
      <c r="DLI161" s="111"/>
      <c r="DLJ161" s="111"/>
      <c r="DLK161" s="111"/>
      <c r="DLL161" s="111"/>
      <c r="DLM161" s="111"/>
      <c r="DLN161" s="111"/>
      <c r="DLO161" s="111"/>
      <c r="DLP161" s="111"/>
      <c r="DLQ161" s="111"/>
      <c r="DLR161" s="111"/>
      <c r="DLS161" s="111"/>
      <c r="DLT161" s="111"/>
      <c r="DLU161" s="111"/>
      <c r="DLV161" s="111"/>
      <c r="DLW161" s="111"/>
      <c r="DLX161" s="111"/>
      <c r="DLY161" s="111"/>
      <c r="DLZ161" s="111"/>
      <c r="DMA161" s="111"/>
      <c r="DMB161" s="111"/>
      <c r="DMC161" s="111"/>
      <c r="DMD161" s="111"/>
      <c r="DME161" s="111"/>
      <c r="DMF161" s="111"/>
      <c r="DMG161" s="111"/>
      <c r="DMH161" s="111"/>
      <c r="DMI161" s="111"/>
      <c r="DMJ161" s="111"/>
      <c r="DMK161" s="111"/>
      <c r="DML161" s="111"/>
      <c r="DMM161" s="111"/>
      <c r="DMN161" s="111"/>
      <c r="DMO161" s="111"/>
      <c r="DMP161" s="111"/>
      <c r="DMQ161" s="111"/>
      <c r="DMR161" s="111"/>
      <c r="DMS161" s="111"/>
      <c r="DMT161" s="111"/>
      <c r="DMU161" s="111"/>
      <c r="DMV161" s="111"/>
      <c r="DMW161" s="111"/>
      <c r="DMX161" s="111"/>
      <c r="DMY161" s="111"/>
      <c r="DMZ161" s="111"/>
      <c r="DNA161" s="111"/>
      <c r="DNB161" s="111"/>
      <c r="DNC161" s="111"/>
      <c r="DND161" s="111"/>
      <c r="DNE161" s="111"/>
      <c r="DNF161" s="111"/>
      <c r="DNG161" s="111"/>
      <c r="DNH161" s="111"/>
      <c r="DNI161" s="111"/>
      <c r="DNJ161" s="111"/>
      <c r="DNK161" s="111"/>
      <c r="DNL161" s="111"/>
      <c r="DNM161" s="111"/>
      <c r="DNN161" s="111"/>
      <c r="DNO161" s="111"/>
      <c r="DNP161" s="111"/>
      <c r="DNQ161" s="111"/>
      <c r="DNR161" s="111"/>
      <c r="DNS161" s="111"/>
      <c r="DNT161" s="111"/>
      <c r="DNU161" s="111"/>
      <c r="DNV161" s="111"/>
      <c r="DNW161" s="111"/>
      <c r="DNX161" s="111"/>
      <c r="DNY161" s="111"/>
      <c r="DNZ161" s="111"/>
      <c r="DOA161" s="111"/>
      <c r="DOB161" s="111"/>
      <c r="DOC161" s="111"/>
      <c r="DOD161" s="111"/>
      <c r="DOE161" s="111"/>
      <c r="DOF161" s="111"/>
      <c r="DOG161" s="111"/>
      <c r="DOH161" s="111"/>
      <c r="DOI161" s="111"/>
      <c r="DOJ161" s="111"/>
      <c r="DOK161" s="111"/>
      <c r="DOL161" s="111"/>
      <c r="DOM161" s="111"/>
      <c r="DON161" s="111"/>
      <c r="DOO161" s="111"/>
      <c r="DOP161" s="111"/>
      <c r="DOQ161" s="111"/>
      <c r="DOR161" s="111"/>
      <c r="DOS161" s="111"/>
      <c r="DOT161" s="111"/>
      <c r="DOU161" s="111"/>
      <c r="DOV161" s="111"/>
      <c r="DOW161" s="111"/>
      <c r="DOX161" s="111"/>
      <c r="DOY161" s="111"/>
      <c r="DOZ161" s="111"/>
      <c r="DPA161" s="111"/>
      <c r="DPB161" s="111"/>
      <c r="DPC161" s="111"/>
      <c r="DPD161" s="111"/>
      <c r="DPE161" s="111"/>
      <c r="DPF161" s="111"/>
      <c r="DPG161" s="111"/>
      <c r="DPH161" s="111"/>
      <c r="DPI161" s="111"/>
      <c r="DPJ161" s="111"/>
      <c r="DPK161" s="111"/>
      <c r="DPL161" s="111"/>
      <c r="DPM161" s="111"/>
      <c r="DPN161" s="111"/>
      <c r="DPO161" s="111"/>
      <c r="DPP161" s="111"/>
      <c r="DPQ161" s="111"/>
      <c r="DPR161" s="111"/>
      <c r="DPS161" s="111"/>
      <c r="DPT161" s="111"/>
      <c r="DPU161" s="111"/>
      <c r="DPV161" s="111"/>
      <c r="DPW161" s="111"/>
      <c r="DPX161" s="111"/>
      <c r="DPY161" s="111"/>
      <c r="DPZ161" s="111"/>
      <c r="DQA161" s="111"/>
      <c r="DQB161" s="111"/>
      <c r="DQC161" s="111"/>
      <c r="DQD161" s="111"/>
      <c r="DQE161" s="111"/>
      <c r="DQF161" s="111"/>
      <c r="DQG161" s="111"/>
      <c r="DQH161" s="111"/>
      <c r="DQI161" s="111"/>
      <c r="DQJ161" s="111"/>
      <c r="DQK161" s="111"/>
      <c r="DQL161" s="111"/>
      <c r="DQM161" s="111"/>
      <c r="DQN161" s="111"/>
      <c r="DQO161" s="111"/>
      <c r="DQP161" s="111"/>
      <c r="DQQ161" s="111"/>
      <c r="DQR161" s="111"/>
      <c r="DQS161" s="111"/>
      <c r="DQT161" s="111"/>
      <c r="DQU161" s="111"/>
      <c r="DQV161" s="111"/>
      <c r="DQW161" s="111"/>
      <c r="DQX161" s="111"/>
      <c r="DQY161" s="111"/>
      <c r="DQZ161" s="111"/>
      <c r="DRA161" s="111"/>
      <c r="DRB161" s="111"/>
      <c r="DRC161" s="111"/>
      <c r="DRD161" s="111"/>
      <c r="DRE161" s="111"/>
      <c r="DRF161" s="111"/>
      <c r="DRG161" s="111"/>
      <c r="DRH161" s="111"/>
      <c r="DRI161" s="111"/>
      <c r="DRJ161" s="111"/>
      <c r="DRK161" s="111"/>
      <c r="DRL161" s="111"/>
      <c r="DRM161" s="111"/>
      <c r="DRN161" s="111"/>
      <c r="DRO161" s="111"/>
      <c r="DRP161" s="111"/>
      <c r="DRQ161" s="111"/>
      <c r="DRR161" s="111"/>
      <c r="DRS161" s="111"/>
      <c r="DRT161" s="111"/>
      <c r="DRU161" s="111"/>
      <c r="DRV161" s="111"/>
      <c r="DRW161" s="111"/>
      <c r="DRX161" s="111"/>
      <c r="DRY161" s="111"/>
      <c r="DRZ161" s="111"/>
      <c r="DSA161" s="111"/>
      <c r="DSB161" s="111"/>
      <c r="DSC161" s="111"/>
      <c r="DSD161" s="111"/>
      <c r="DSE161" s="111"/>
      <c r="DSF161" s="111"/>
      <c r="DSG161" s="111"/>
      <c r="DSH161" s="111"/>
      <c r="DSI161" s="111"/>
      <c r="DSJ161" s="111"/>
      <c r="DSK161" s="111"/>
      <c r="DSL161" s="111"/>
      <c r="DSM161" s="111"/>
      <c r="DSN161" s="111"/>
      <c r="DSO161" s="111"/>
      <c r="DSP161" s="111"/>
      <c r="DSQ161" s="111"/>
      <c r="DSR161" s="111"/>
      <c r="DSS161" s="111"/>
      <c r="DST161" s="111"/>
      <c r="DSU161" s="111"/>
      <c r="DSV161" s="111"/>
      <c r="DSW161" s="111"/>
      <c r="DSX161" s="111"/>
      <c r="DSY161" s="111"/>
      <c r="DSZ161" s="111"/>
      <c r="DTA161" s="111"/>
      <c r="DTB161" s="111"/>
      <c r="DTC161" s="111"/>
      <c r="DTD161" s="111"/>
      <c r="DTE161" s="111"/>
      <c r="DTF161" s="111"/>
      <c r="DTG161" s="111"/>
      <c r="DTH161" s="111"/>
      <c r="DTI161" s="111"/>
      <c r="DTJ161" s="111"/>
      <c r="DTK161" s="111"/>
      <c r="DTL161" s="111"/>
      <c r="DTM161" s="111"/>
      <c r="DTN161" s="111"/>
      <c r="DTO161" s="111"/>
      <c r="DTP161" s="111"/>
      <c r="DTQ161" s="111"/>
      <c r="DTR161" s="111"/>
      <c r="DTS161" s="111"/>
      <c r="DTT161" s="111"/>
      <c r="DTU161" s="111"/>
      <c r="DTV161" s="111"/>
      <c r="DTW161" s="111"/>
      <c r="DTX161" s="111"/>
      <c r="DTY161" s="111"/>
      <c r="DTZ161" s="111"/>
      <c r="DUA161" s="111"/>
      <c r="DUB161" s="111"/>
      <c r="DUC161" s="111"/>
      <c r="DUD161" s="111"/>
      <c r="DUE161" s="111"/>
      <c r="DUF161" s="111"/>
      <c r="DUG161" s="111"/>
      <c r="DUH161" s="111"/>
      <c r="DUI161" s="111"/>
      <c r="DUJ161" s="111"/>
      <c r="DUK161" s="111"/>
      <c r="DUL161" s="111"/>
      <c r="DUM161" s="111"/>
      <c r="DUN161" s="111"/>
      <c r="DUO161" s="111"/>
      <c r="DUP161" s="111"/>
      <c r="DUQ161" s="111"/>
      <c r="DUR161" s="111"/>
      <c r="DUS161" s="111"/>
      <c r="DUT161" s="111"/>
      <c r="DUU161" s="111"/>
      <c r="DUV161" s="111"/>
      <c r="DUW161" s="111"/>
      <c r="DUX161" s="111"/>
      <c r="DUY161" s="111"/>
      <c r="DUZ161" s="111"/>
      <c r="DVA161" s="111"/>
      <c r="DVB161" s="111"/>
      <c r="DVC161" s="111"/>
      <c r="DVD161" s="111"/>
      <c r="DVE161" s="111"/>
      <c r="DVF161" s="111"/>
      <c r="DVG161" s="111"/>
      <c r="DVH161" s="111"/>
      <c r="DVI161" s="111"/>
      <c r="DVJ161" s="111"/>
      <c r="DVK161" s="111"/>
      <c r="DVL161" s="111"/>
      <c r="DVM161" s="111"/>
      <c r="DVN161" s="111"/>
      <c r="DVO161" s="111"/>
      <c r="DVP161" s="111"/>
      <c r="DVQ161" s="111"/>
      <c r="DVR161" s="111"/>
      <c r="DVS161" s="111"/>
      <c r="DVT161" s="111"/>
      <c r="DVU161" s="111"/>
      <c r="DVV161" s="111"/>
      <c r="DVW161" s="111"/>
      <c r="DVX161" s="111"/>
      <c r="DVY161" s="111"/>
      <c r="DVZ161" s="111"/>
      <c r="DWA161" s="111"/>
      <c r="DWB161" s="111"/>
      <c r="DWC161" s="111"/>
      <c r="DWD161" s="111"/>
      <c r="DWE161" s="111"/>
      <c r="DWF161" s="111"/>
      <c r="DWG161" s="111"/>
      <c r="DWH161" s="111"/>
      <c r="DWI161" s="111"/>
      <c r="DWJ161" s="111"/>
      <c r="DWK161" s="111"/>
      <c r="DWL161" s="111"/>
      <c r="DWM161" s="111"/>
      <c r="DWN161" s="111"/>
      <c r="DWO161" s="111"/>
      <c r="DWP161" s="111"/>
      <c r="DWQ161" s="111"/>
      <c r="DWR161" s="111"/>
      <c r="DWS161" s="111"/>
      <c r="DWT161" s="111"/>
      <c r="DWU161" s="111"/>
      <c r="DWV161" s="111"/>
      <c r="DWW161" s="111"/>
      <c r="DWX161" s="111"/>
      <c r="DWY161" s="111"/>
      <c r="DWZ161" s="111"/>
      <c r="DXA161" s="111"/>
      <c r="DXB161" s="111"/>
      <c r="DXC161" s="111"/>
      <c r="DXD161" s="111"/>
      <c r="DXE161" s="111"/>
      <c r="DXF161" s="111"/>
      <c r="DXG161" s="111"/>
      <c r="DXH161" s="111"/>
      <c r="DXI161" s="111"/>
      <c r="DXJ161" s="111"/>
      <c r="DXK161" s="111"/>
      <c r="DXL161" s="111"/>
      <c r="DXM161" s="111"/>
      <c r="DXN161" s="111"/>
      <c r="DXO161" s="111"/>
      <c r="DXP161" s="111"/>
      <c r="DXQ161" s="111"/>
      <c r="DXR161" s="111"/>
      <c r="DXS161" s="111"/>
      <c r="DXT161" s="111"/>
      <c r="DXU161" s="111"/>
      <c r="DXV161" s="111"/>
      <c r="DXW161" s="111"/>
      <c r="DXX161" s="111"/>
      <c r="DXY161" s="111"/>
      <c r="DXZ161" s="111"/>
      <c r="DYA161" s="111"/>
      <c r="DYB161" s="111"/>
      <c r="DYC161" s="111"/>
      <c r="DYD161" s="111"/>
      <c r="DYE161" s="111"/>
      <c r="DYF161" s="111"/>
      <c r="DYG161" s="111"/>
      <c r="DYH161" s="111"/>
      <c r="DYI161" s="111"/>
      <c r="DYJ161" s="111"/>
      <c r="DYK161" s="111"/>
      <c r="DYL161" s="111"/>
      <c r="DYM161" s="111"/>
      <c r="DYN161" s="111"/>
      <c r="DYO161" s="111"/>
      <c r="DYP161" s="111"/>
      <c r="DYQ161" s="111"/>
      <c r="DYR161" s="111"/>
      <c r="DYS161" s="111"/>
      <c r="DYT161" s="111"/>
      <c r="DYU161" s="111"/>
      <c r="DYV161" s="111"/>
      <c r="DYW161" s="111"/>
      <c r="DYX161" s="111"/>
      <c r="DYY161" s="111"/>
      <c r="DYZ161" s="111"/>
      <c r="DZA161" s="111"/>
      <c r="DZB161" s="111"/>
      <c r="DZC161" s="111"/>
      <c r="DZD161" s="111"/>
      <c r="DZE161" s="111"/>
      <c r="DZF161" s="111"/>
      <c r="DZG161" s="111"/>
      <c r="DZH161" s="111"/>
      <c r="DZI161" s="111"/>
      <c r="DZJ161" s="111"/>
      <c r="DZK161" s="111"/>
      <c r="DZL161" s="111"/>
      <c r="DZM161" s="111"/>
      <c r="DZN161" s="111"/>
      <c r="DZO161" s="111"/>
      <c r="DZP161" s="111"/>
      <c r="DZQ161" s="111"/>
      <c r="DZR161" s="111"/>
      <c r="DZS161" s="111"/>
      <c r="DZT161" s="111"/>
      <c r="DZU161" s="111"/>
      <c r="DZV161" s="111"/>
      <c r="DZW161" s="111"/>
      <c r="DZX161" s="111"/>
      <c r="DZY161" s="111"/>
      <c r="DZZ161" s="111"/>
      <c r="EAA161" s="111"/>
      <c r="EAB161" s="111"/>
      <c r="EAC161" s="111"/>
      <c r="EAD161" s="111"/>
      <c r="EAE161" s="111"/>
      <c r="EAF161" s="111"/>
      <c r="EAG161" s="111"/>
      <c r="EAH161" s="111"/>
      <c r="EAI161" s="111"/>
      <c r="EAJ161" s="111"/>
      <c r="EAK161" s="111"/>
      <c r="EAL161" s="111"/>
      <c r="EAM161" s="111"/>
      <c r="EAN161" s="111"/>
      <c r="EAO161" s="111"/>
      <c r="EAP161" s="111"/>
      <c r="EAQ161" s="111"/>
      <c r="EAR161" s="111"/>
      <c r="EAS161" s="111"/>
      <c r="EAT161" s="111"/>
      <c r="EAU161" s="111"/>
      <c r="EAV161" s="111"/>
      <c r="EAW161" s="111"/>
      <c r="EAX161" s="111"/>
      <c r="EAY161" s="111"/>
      <c r="EAZ161" s="111"/>
      <c r="EBA161" s="111"/>
      <c r="EBB161" s="111"/>
      <c r="EBC161" s="111"/>
      <c r="EBD161" s="111"/>
      <c r="EBE161" s="111"/>
      <c r="EBF161" s="111"/>
      <c r="EBG161" s="111"/>
      <c r="EBH161" s="111"/>
      <c r="EBI161" s="111"/>
      <c r="EBJ161" s="111"/>
      <c r="EBK161" s="111"/>
      <c r="EBL161" s="111"/>
      <c r="EBM161" s="111"/>
      <c r="EBN161" s="111"/>
      <c r="EBO161" s="111"/>
      <c r="EBP161" s="111"/>
      <c r="EBQ161" s="111"/>
      <c r="EBR161" s="111"/>
      <c r="EBS161" s="111"/>
      <c r="EBT161" s="111"/>
      <c r="EBU161" s="111"/>
      <c r="EBV161" s="111"/>
      <c r="EBW161" s="111"/>
      <c r="EBX161" s="111"/>
      <c r="EBY161" s="111"/>
      <c r="EBZ161" s="111"/>
      <c r="ECA161" s="111"/>
      <c r="ECB161" s="111"/>
      <c r="ECC161" s="111"/>
      <c r="ECD161" s="111"/>
      <c r="ECE161" s="111"/>
      <c r="ECF161" s="111"/>
      <c r="ECG161" s="111"/>
      <c r="ECH161" s="111"/>
      <c r="ECI161" s="111"/>
      <c r="ECJ161" s="111"/>
      <c r="ECK161" s="111"/>
      <c r="ECL161" s="111"/>
      <c r="ECM161" s="111"/>
      <c r="ECN161" s="111"/>
      <c r="ECO161" s="111"/>
      <c r="ECP161" s="111"/>
      <c r="ECQ161" s="111"/>
      <c r="ECR161" s="111"/>
      <c r="ECS161" s="111"/>
      <c r="ECT161" s="111"/>
      <c r="ECU161" s="111"/>
      <c r="ECV161" s="111"/>
      <c r="ECW161" s="111"/>
      <c r="ECX161" s="111"/>
      <c r="ECY161" s="111"/>
      <c r="ECZ161" s="111"/>
      <c r="EDA161" s="111"/>
      <c r="EDB161" s="111"/>
      <c r="EDC161" s="111"/>
      <c r="EDD161" s="111"/>
      <c r="EDE161" s="111"/>
      <c r="EDF161" s="111"/>
      <c r="EDG161" s="111"/>
      <c r="EDH161" s="111"/>
      <c r="EDI161" s="111"/>
      <c r="EDJ161" s="111"/>
      <c r="EDK161" s="111"/>
      <c r="EDL161" s="111"/>
      <c r="EDM161" s="111"/>
      <c r="EDN161" s="111"/>
      <c r="EDO161" s="111"/>
      <c r="EDP161" s="111"/>
      <c r="EDQ161" s="111"/>
      <c r="EDR161" s="111"/>
      <c r="EDS161" s="111"/>
      <c r="EDT161" s="111"/>
      <c r="EDU161" s="111"/>
      <c r="EDV161" s="111"/>
      <c r="EDW161" s="111"/>
      <c r="EDX161" s="111"/>
      <c r="EDY161" s="111"/>
      <c r="EDZ161" s="111"/>
      <c r="EEA161" s="111"/>
      <c r="EEB161" s="111"/>
      <c r="EEC161" s="111"/>
      <c r="EED161" s="111"/>
      <c r="EEE161" s="111"/>
      <c r="EEF161" s="111"/>
      <c r="EEG161" s="111"/>
      <c r="EEH161" s="111"/>
      <c r="EEI161" s="111"/>
      <c r="EEJ161" s="111"/>
      <c r="EEK161" s="111"/>
      <c r="EEL161" s="111"/>
      <c r="EEM161" s="111"/>
      <c r="EEN161" s="111"/>
      <c r="EEO161" s="111"/>
      <c r="EEP161" s="111"/>
      <c r="EEQ161" s="111"/>
      <c r="EER161" s="111"/>
      <c r="EES161" s="111"/>
      <c r="EET161" s="111"/>
      <c r="EEU161" s="111"/>
      <c r="EEV161" s="111"/>
      <c r="EEW161" s="111"/>
      <c r="EEX161" s="111"/>
      <c r="EEY161" s="111"/>
      <c r="EEZ161" s="111"/>
      <c r="EFA161" s="111"/>
      <c r="EFB161" s="111"/>
      <c r="EFC161" s="111"/>
      <c r="EFD161" s="111"/>
      <c r="EFE161" s="111"/>
      <c r="EFF161" s="111"/>
      <c r="EFG161" s="111"/>
      <c r="EFH161" s="111"/>
      <c r="EFI161" s="111"/>
      <c r="EFJ161" s="111"/>
      <c r="EFK161" s="111"/>
      <c r="EFL161" s="111"/>
      <c r="EFM161" s="111"/>
      <c r="EFN161" s="111"/>
      <c r="EFO161" s="111"/>
      <c r="EFP161" s="111"/>
      <c r="EFQ161" s="111"/>
      <c r="EFR161" s="111"/>
      <c r="EFS161" s="111"/>
      <c r="EFT161" s="111"/>
      <c r="EFU161" s="111"/>
      <c r="EFV161" s="111"/>
      <c r="EFW161" s="111"/>
      <c r="EFX161" s="111"/>
      <c r="EFY161" s="111"/>
      <c r="EFZ161" s="111"/>
      <c r="EGA161" s="111"/>
      <c r="EGB161" s="111"/>
      <c r="EGC161" s="111"/>
      <c r="EGD161" s="111"/>
      <c r="EGE161" s="111"/>
      <c r="EGF161" s="111"/>
      <c r="EGG161" s="111"/>
      <c r="EGH161" s="111"/>
      <c r="EGI161" s="111"/>
      <c r="EGJ161" s="111"/>
      <c r="EGK161" s="111"/>
      <c r="EGL161" s="111"/>
      <c r="EGM161" s="111"/>
      <c r="EGN161" s="111"/>
      <c r="EGO161" s="111"/>
      <c r="EGP161" s="111"/>
      <c r="EGQ161" s="111"/>
      <c r="EGR161" s="111"/>
      <c r="EGS161" s="111"/>
      <c r="EGT161" s="111"/>
      <c r="EGU161" s="111"/>
      <c r="EGV161" s="111"/>
      <c r="EGW161" s="111"/>
      <c r="EGX161" s="111"/>
      <c r="EGY161" s="111"/>
      <c r="EGZ161" s="111"/>
      <c r="EHA161" s="111"/>
      <c r="EHB161" s="111"/>
      <c r="EHC161" s="111"/>
      <c r="EHD161" s="111"/>
      <c r="EHE161" s="111"/>
      <c r="EHF161" s="111"/>
      <c r="EHG161" s="111"/>
      <c r="EHH161" s="111"/>
      <c r="EHI161" s="111"/>
      <c r="EHJ161" s="111"/>
      <c r="EHK161" s="111"/>
      <c r="EHL161" s="111"/>
      <c r="EHM161" s="111"/>
      <c r="EHN161" s="111"/>
      <c r="EHO161" s="111"/>
      <c r="EHP161" s="111"/>
      <c r="EHQ161" s="111"/>
      <c r="EHR161" s="111"/>
      <c r="EHS161" s="111"/>
      <c r="EHT161" s="111"/>
      <c r="EHU161" s="111"/>
      <c r="EHV161" s="111"/>
      <c r="EHW161" s="111"/>
      <c r="EHX161" s="111"/>
      <c r="EHY161" s="111"/>
      <c r="EHZ161" s="111"/>
      <c r="EIA161" s="111"/>
      <c r="EIB161" s="111"/>
      <c r="EIC161" s="111"/>
      <c r="EID161" s="111"/>
      <c r="EIE161" s="111"/>
      <c r="EIF161" s="111"/>
      <c r="EIG161" s="111"/>
      <c r="EIH161" s="111"/>
      <c r="EII161" s="111"/>
      <c r="EIJ161" s="111"/>
      <c r="EIK161" s="111"/>
      <c r="EIL161" s="111"/>
      <c r="EIM161" s="111"/>
      <c r="EIN161" s="111"/>
      <c r="EIO161" s="111"/>
      <c r="EIP161" s="111"/>
      <c r="EIQ161" s="111"/>
      <c r="EIR161" s="111"/>
      <c r="EIS161" s="111"/>
      <c r="EIT161" s="111"/>
      <c r="EIU161" s="111"/>
      <c r="EIV161" s="111"/>
      <c r="EIW161" s="111"/>
      <c r="EIX161" s="111"/>
      <c r="EIY161" s="111"/>
      <c r="EIZ161" s="111"/>
      <c r="EJA161" s="111"/>
      <c r="EJB161" s="111"/>
      <c r="EJC161" s="111"/>
      <c r="EJD161" s="111"/>
      <c r="EJE161" s="111"/>
      <c r="EJF161" s="111"/>
      <c r="EJG161" s="111"/>
      <c r="EJH161" s="111"/>
      <c r="EJI161" s="111"/>
      <c r="EJJ161" s="111"/>
      <c r="EJK161" s="111"/>
      <c r="EJL161" s="111"/>
      <c r="EJM161" s="111"/>
      <c r="EJN161" s="111"/>
      <c r="EJO161" s="111"/>
      <c r="EJP161" s="111"/>
      <c r="EJQ161" s="111"/>
      <c r="EJR161" s="111"/>
      <c r="EJS161" s="111"/>
      <c r="EJT161" s="111"/>
      <c r="EJU161" s="111"/>
      <c r="EJV161" s="111"/>
      <c r="EJW161" s="111"/>
      <c r="EJX161" s="111"/>
      <c r="EJY161" s="111"/>
      <c r="EJZ161" s="111"/>
      <c r="EKA161" s="111"/>
      <c r="EKB161" s="111"/>
      <c r="EKC161" s="111"/>
      <c r="EKD161" s="111"/>
      <c r="EKE161" s="111"/>
      <c r="EKF161" s="111"/>
      <c r="EKG161" s="111"/>
      <c r="EKH161" s="111"/>
      <c r="EKI161" s="111"/>
      <c r="EKJ161" s="111"/>
      <c r="EKK161" s="111"/>
      <c r="EKL161" s="111"/>
      <c r="EKM161" s="111"/>
      <c r="EKN161" s="111"/>
      <c r="EKO161" s="111"/>
      <c r="EKP161" s="111"/>
      <c r="EKQ161" s="111"/>
      <c r="EKR161" s="111"/>
      <c r="EKS161" s="111"/>
      <c r="EKT161" s="111"/>
      <c r="EKU161" s="111"/>
      <c r="EKV161" s="111"/>
      <c r="EKW161" s="111"/>
      <c r="EKX161" s="111"/>
      <c r="EKY161" s="111"/>
      <c r="EKZ161" s="111"/>
      <c r="ELA161" s="111"/>
      <c r="ELB161" s="111"/>
      <c r="ELC161" s="111"/>
      <c r="ELD161" s="111"/>
      <c r="ELE161" s="111"/>
      <c r="ELF161" s="111"/>
      <c r="ELG161" s="111"/>
      <c r="ELH161" s="111"/>
      <c r="ELI161" s="111"/>
      <c r="ELJ161" s="111"/>
      <c r="ELK161" s="111"/>
      <c r="ELL161" s="111"/>
      <c r="ELM161" s="111"/>
      <c r="ELN161" s="111"/>
      <c r="ELO161" s="111"/>
      <c r="ELP161" s="111"/>
      <c r="ELQ161" s="111"/>
      <c r="ELR161" s="111"/>
      <c r="ELS161" s="111"/>
      <c r="ELT161" s="111"/>
      <c r="ELU161" s="111"/>
      <c r="ELV161" s="111"/>
      <c r="ELW161" s="111"/>
      <c r="ELX161" s="111"/>
      <c r="ELY161" s="111"/>
      <c r="ELZ161" s="111"/>
      <c r="EMA161" s="111"/>
      <c r="EMB161" s="111"/>
      <c r="EMC161" s="111"/>
      <c r="EMD161" s="111"/>
      <c r="EME161" s="111"/>
      <c r="EMF161" s="111"/>
      <c r="EMG161" s="111"/>
      <c r="EMH161" s="111"/>
      <c r="EMI161" s="111"/>
      <c r="EMJ161" s="111"/>
      <c r="EMK161" s="111"/>
      <c r="EML161" s="111"/>
      <c r="EMM161" s="111"/>
      <c r="EMN161" s="111"/>
      <c r="EMO161" s="111"/>
      <c r="EMP161" s="111"/>
      <c r="EMQ161" s="111"/>
      <c r="EMR161" s="111"/>
      <c r="EMS161" s="111"/>
      <c r="EMT161" s="111"/>
      <c r="EMU161" s="111"/>
      <c r="EMV161" s="111"/>
      <c r="EMW161" s="111"/>
      <c r="EMX161" s="111"/>
      <c r="EMY161" s="111"/>
      <c r="EMZ161" s="111"/>
      <c r="ENA161" s="111"/>
      <c r="ENB161" s="111"/>
      <c r="ENC161" s="111"/>
      <c r="END161" s="111"/>
      <c r="ENE161" s="111"/>
      <c r="ENF161" s="111"/>
      <c r="ENG161" s="111"/>
      <c r="ENH161" s="111"/>
      <c r="ENI161" s="111"/>
      <c r="ENJ161" s="111"/>
      <c r="ENK161" s="111"/>
      <c r="ENL161" s="111"/>
      <c r="ENM161" s="111"/>
      <c r="ENN161" s="111"/>
      <c r="ENO161" s="111"/>
      <c r="ENP161" s="111"/>
      <c r="ENQ161" s="111"/>
      <c r="ENR161" s="111"/>
      <c r="ENS161" s="111"/>
      <c r="ENT161" s="111"/>
      <c r="ENU161" s="111"/>
      <c r="ENV161" s="111"/>
      <c r="ENW161" s="111"/>
      <c r="ENX161" s="111"/>
      <c r="ENY161" s="111"/>
      <c r="ENZ161" s="111"/>
      <c r="EOA161" s="111"/>
      <c r="EOB161" s="111"/>
      <c r="EOC161" s="111"/>
      <c r="EOD161" s="111"/>
      <c r="EOE161" s="111"/>
      <c r="EOF161" s="111"/>
      <c r="EOG161" s="111"/>
      <c r="EOH161" s="111"/>
      <c r="EOI161" s="111"/>
      <c r="EOJ161" s="111"/>
      <c r="EOK161" s="111"/>
      <c r="EOL161" s="111"/>
      <c r="EOM161" s="111"/>
      <c r="EON161" s="111"/>
      <c r="EOO161" s="111"/>
      <c r="EOP161" s="111"/>
      <c r="EOQ161" s="111"/>
      <c r="EOR161" s="111"/>
      <c r="EOS161" s="111"/>
      <c r="EOT161" s="111"/>
      <c r="EOU161" s="111"/>
      <c r="EOV161" s="111"/>
      <c r="EOW161" s="111"/>
      <c r="EOX161" s="111"/>
      <c r="EOY161" s="111"/>
      <c r="EOZ161" s="111"/>
      <c r="EPA161" s="111"/>
      <c r="EPB161" s="111"/>
      <c r="EPC161" s="111"/>
      <c r="EPD161" s="111"/>
      <c r="EPE161" s="111"/>
      <c r="EPF161" s="111"/>
      <c r="EPG161" s="111"/>
      <c r="EPH161" s="111"/>
      <c r="EPI161" s="111"/>
      <c r="EPJ161" s="111"/>
      <c r="EPK161" s="111"/>
      <c r="EPL161" s="111"/>
      <c r="EPM161" s="111"/>
      <c r="EPN161" s="111"/>
      <c r="EPO161" s="111"/>
      <c r="EPP161" s="111"/>
      <c r="EPQ161" s="111"/>
      <c r="EPR161" s="111"/>
      <c r="EPS161" s="111"/>
      <c r="EPT161" s="111"/>
      <c r="EPU161" s="111"/>
      <c r="EPV161" s="111"/>
      <c r="EPW161" s="111"/>
      <c r="EPX161" s="111"/>
      <c r="EPY161" s="111"/>
      <c r="EPZ161" s="111"/>
      <c r="EQA161" s="111"/>
      <c r="EQB161" s="111"/>
      <c r="EQC161" s="111"/>
      <c r="EQD161" s="111"/>
      <c r="EQE161" s="111"/>
      <c r="EQF161" s="111"/>
      <c r="EQG161" s="111"/>
      <c r="EQH161" s="111"/>
      <c r="EQI161" s="111"/>
      <c r="EQJ161" s="111"/>
      <c r="EQK161" s="111"/>
      <c r="EQL161" s="111"/>
      <c r="EQM161" s="111"/>
      <c r="EQN161" s="111"/>
      <c r="EQO161" s="111"/>
      <c r="EQP161" s="111"/>
      <c r="EQQ161" s="111"/>
      <c r="EQR161" s="111"/>
      <c r="EQS161" s="111"/>
      <c r="EQT161" s="111"/>
      <c r="EQU161" s="111"/>
      <c r="EQV161" s="111"/>
      <c r="EQW161" s="111"/>
      <c r="EQX161" s="111"/>
      <c r="EQY161" s="111"/>
      <c r="EQZ161" s="111"/>
      <c r="ERA161" s="111"/>
      <c r="ERB161" s="111"/>
      <c r="ERC161" s="111"/>
      <c r="ERD161" s="111"/>
      <c r="ERE161" s="111"/>
      <c r="ERF161" s="111"/>
      <c r="ERG161" s="111"/>
      <c r="ERH161" s="111"/>
      <c r="ERI161" s="111"/>
      <c r="ERJ161" s="111"/>
      <c r="ERK161" s="111"/>
      <c r="ERL161" s="111"/>
      <c r="ERM161" s="111"/>
      <c r="ERN161" s="111"/>
      <c r="ERO161" s="111"/>
      <c r="ERP161" s="111"/>
      <c r="ERQ161" s="111"/>
      <c r="ERR161" s="111"/>
      <c r="ERS161" s="111"/>
      <c r="ERT161" s="111"/>
      <c r="ERU161" s="111"/>
      <c r="ERV161" s="111"/>
      <c r="ERW161" s="111"/>
      <c r="ERX161" s="111"/>
      <c r="ERY161" s="111"/>
      <c r="ERZ161" s="111"/>
      <c r="ESA161" s="111"/>
      <c r="ESB161" s="111"/>
      <c r="ESC161" s="111"/>
      <c r="ESD161" s="111"/>
      <c r="ESE161" s="111"/>
      <c r="ESF161" s="111"/>
      <c r="ESG161" s="111"/>
      <c r="ESH161" s="111"/>
      <c r="ESI161" s="111"/>
      <c r="ESJ161" s="111"/>
      <c r="ESK161" s="111"/>
      <c r="ESL161" s="111"/>
      <c r="ESM161" s="111"/>
      <c r="ESN161" s="111"/>
      <c r="ESO161" s="111"/>
      <c r="ESP161" s="111"/>
      <c r="ESQ161" s="111"/>
      <c r="ESR161" s="111"/>
      <c r="ESS161" s="111"/>
      <c r="EST161" s="111"/>
      <c r="ESU161" s="111"/>
      <c r="ESV161" s="111"/>
      <c r="ESW161" s="111"/>
      <c r="ESX161" s="111"/>
      <c r="ESY161" s="111"/>
      <c r="ESZ161" s="111"/>
      <c r="ETA161" s="111"/>
      <c r="ETB161" s="111"/>
      <c r="ETC161" s="111"/>
      <c r="ETD161" s="111"/>
      <c r="ETE161" s="111"/>
      <c r="ETF161" s="111"/>
      <c r="ETG161" s="111"/>
      <c r="ETH161" s="111"/>
      <c r="ETI161" s="111"/>
      <c r="ETJ161" s="111"/>
      <c r="ETK161" s="111"/>
      <c r="ETL161" s="111"/>
      <c r="ETM161" s="111"/>
      <c r="ETN161" s="111"/>
      <c r="ETO161" s="111"/>
      <c r="ETP161" s="111"/>
      <c r="ETQ161" s="111"/>
      <c r="ETR161" s="111"/>
      <c r="ETS161" s="111"/>
      <c r="ETT161" s="111"/>
      <c r="ETU161" s="111"/>
      <c r="ETV161" s="111"/>
      <c r="ETW161" s="111"/>
      <c r="ETX161" s="111"/>
      <c r="ETY161" s="111"/>
      <c r="ETZ161" s="111"/>
      <c r="EUA161" s="111"/>
      <c r="EUB161" s="111"/>
      <c r="EUC161" s="111"/>
      <c r="EUD161" s="111"/>
      <c r="EUE161" s="111"/>
      <c r="EUF161" s="111"/>
      <c r="EUG161" s="111"/>
      <c r="EUH161" s="111"/>
      <c r="EUI161" s="111"/>
      <c r="EUJ161" s="111"/>
      <c r="EUK161" s="111"/>
      <c r="EUL161" s="111"/>
      <c r="EUM161" s="111"/>
      <c r="EUN161" s="111"/>
      <c r="EUO161" s="111"/>
      <c r="EUP161" s="111"/>
      <c r="EUQ161" s="111"/>
      <c r="EUR161" s="111"/>
      <c r="EUS161" s="111"/>
      <c r="EUT161" s="111"/>
      <c r="EUU161" s="111"/>
      <c r="EUV161" s="111"/>
      <c r="EUW161" s="111"/>
      <c r="EUX161" s="111"/>
      <c r="EUY161" s="111"/>
      <c r="EUZ161" s="111"/>
      <c r="EVA161" s="111"/>
      <c r="EVB161" s="111"/>
      <c r="EVC161" s="111"/>
      <c r="EVD161" s="111"/>
      <c r="EVE161" s="111"/>
      <c r="EVF161" s="111"/>
      <c r="EVG161" s="111"/>
      <c r="EVH161" s="111"/>
      <c r="EVI161" s="111"/>
      <c r="EVJ161" s="111"/>
      <c r="EVK161" s="111"/>
      <c r="EVL161" s="111"/>
      <c r="EVM161" s="111"/>
      <c r="EVN161" s="111"/>
      <c r="EVO161" s="111"/>
      <c r="EVP161" s="111"/>
      <c r="EVQ161" s="111"/>
      <c r="EVR161" s="111"/>
      <c r="EVS161" s="111"/>
      <c r="EVT161" s="111"/>
      <c r="EVU161" s="111"/>
      <c r="EVV161" s="111"/>
      <c r="EVW161" s="111"/>
      <c r="EVX161" s="111"/>
      <c r="EVY161" s="111"/>
      <c r="EVZ161" s="111"/>
      <c r="EWA161" s="111"/>
      <c r="EWB161" s="111"/>
      <c r="EWC161" s="111"/>
      <c r="EWD161" s="111"/>
      <c r="EWE161" s="111"/>
      <c r="EWF161" s="111"/>
      <c r="EWG161" s="111"/>
      <c r="EWH161" s="111"/>
      <c r="EWI161" s="111"/>
      <c r="EWJ161" s="111"/>
      <c r="EWK161" s="111"/>
      <c r="EWL161" s="111"/>
      <c r="EWM161" s="111"/>
      <c r="EWN161" s="111"/>
      <c r="EWO161" s="111"/>
      <c r="EWP161" s="111"/>
      <c r="EWQ161" s="111"/>
      <c r="EWR161" s="111"/>
      <c r="EWS161" s="111"/>
      <c r="EWT161" s="111"/>
      <c r="EWU161" s="111"/>
      <c r="EWV161" s="111"/>
      <c r="EWW161" s="111"/>
      <c r="EWX161" s="111"/>
      <c r="EWY161" s="111"/>
      <c r="EWZ161" s="111"/>
      <c r="EXA161" s="111"/>
      <c r="EXB161" s="111"/>
      <c r="EXC161" s="111"/>
      <c r="EXD161" s="111"/>
      <c r="EXE161" s="111"/>
      <c r="EXF161" s="111"/>
      <c r="EXG161" s="111"/>
      <c r="EXH161" s="111"/>
      <c r="EXI161" s="111"/>
      <c r="EXJ161" s="111"/>
      <c r="EXK161" s="111"/>
      <c r="EXL161" s="111"/>
      <c r="EXM161" s="111"/>
      <c r="EXN161" s="111"/>
      <c r="EXO161" s="111"/>
      <c r="EXP161" s="111"/>
      <c r="EXQ161" s="111"/>
      <c r="EXR161" s="111"/>
      <c r="EXS161" s="111"/>
      <c r="EXT161" s="111"/>
      <c r="EXU161" s="111"/>
      <c r="EXV161" s="111"/>
      <c r="EXW161" s="111"/>
      <c r="EXX161" s="111"/>
      <c r="EXY161" s="111"/>
      <c r="EXZ161" s="111"/>
      <c r="EYA161" s="111"/>
      <c r="EYB161" s="111"/>
      <c r="EYC161" s="111"/>
      <c r="EYD161" s="111"/>
      <c r="EYE161" s="111"/>
      <c r="EYF161" s="111"/>
      <c r="EYG161" s="111"/>
      <c r="EYH161" s="111"/>
      <c r="EYI161" s="111"/>
      <c r="EYJ161" s="111"/>
      <c r="EYK161" s="111"/>
      <c r="EYL161" s="111"/>
      <c r="EYM161" s="111"/>
      <c r="EYN161" s="111"/>
      <c r="EYO161" s="111"/>
      <c r="EYP161" s="111"/>
      <c r="EYQ161" s="111"/>
      <c r="EYR161" s="111"/>
      <c r="EYS161" s="111"/>
      <c r="EYT161" s="111"/>
      <c r="EYU161" s="111"/>
      <c r="EYV161" s="111"/>
      <c r="EYW161" s="111"/>
      <c r="EYX161" s="111"/>
      <c r="EYY161" s="111"/>
      <c r="EYZ161" s="111"/>
      <c r="EZA161" s="111"/>
      <c r="EZB161" s="111"/>
      <c r="EZC161" s="111"/>
      <c r="EZD161" s="111"/>
      <c r="EZE161" s="111"/>
      <c r="EZF161" s="111"/>
      <c r="EZG161" s="111"/>
      <c r="EZH161" s="111"/>
      <c r="EZI161" s="111"/>
      <c r="EZJ161" s="111"/>
      <c r="EZK161" s="111"/>
      <c r="EZL161" s="111"/>
      <c r="EZM161" s="111"/>
      <c r="EZN161" s="111"/>
      <c r="EZO161" s="111"/>
      <c r="EZP161" s="111"/>
      <c r="EZQ161" s="111"/>
      <c r="EZR161" s="111"/>
      <c r="EZS161" s="111"/>
      <c r="EZT161" s="111"/>
      <c r="EZU161" s="111"/>
      <c r="EZV161" s="111"/>
      <c r="EZW161" s="111"/>
      <c r="EZX161" s="111"/>
      <c r="EZY161" s="111"/>
      <c r="EZZ161" s="111"/>
      <c r="FAA161" s="111"/>
      <c r="FAB161" s="111"/>
      <c r="FAC161" s="111"/>
      <c r="FAD161" s="111"/>
      <c r="FAE161" s="111"/>
      <c r="FAF161" s="111"/>
      <c r="FAG161" s="111"/>
      <c r="FAH161" s="111"/>
      <c r="FAI161" s="111"/>
      <c r="FAJ161" s="111"/>
      <c r="FAK161" s="111"/>
      <c r="FAL161" s="111"/>
      <c r="FAM161" s="111"/>
      <c r="FAN161" s="111"/>
      <c r="FAO161" s="111"/>
      <c r="FAP161" s="111"/>
      <c r="FAQ161" s="111"/>
      <c r="FAR161" s="111"/>
      <c r="FAS161" s="111"/>
      <c r="FAT161" s="111"/>
      <c r="FAU161" s="111"/>
      <c r="FAV161" s="111"/>
      <c r="FAW161" s="111"/>
      <c r="FAX161" s="111"/>
      <c r="FAY161" s="111"/>
      <c r="FAZ161" s="111"/>
      <c r="FBA161" s="111"/>
      <c r="FBB161" s="111"/>
      <c r="FBC161" s="111"/>
      <c r="FBD161" s="111"/>
      <c r="FBE161" s="111"/>
      <c r="FBF161" s="111"/>
      <c r="FBG161" s="111"/>
      <c r="FBH161" s="111"/>
      <c r="FBI161" s="111"/>
      <c r="FBJ161" s="111"/>
      <c r="FBK161" s="111"/>
      <c r="FBL161" s="111"/>
      <c r="FBM161" s="111"/>
      <c r="FBN161" s="111"/>
      <c r="FBO161" s="111"/>
      <c r="FBP161" s="111"/>
      <c r="FBQ161" s="111"/>
      <c r="FBR161" s="111"/>
      <c r="FBS161" s="111"/>
      <c r="FBT161" s="111"/>
      <c r="FBU161" s="111"/>
      <c r="FBV161" s="111"/>
      <c r="FBW161" s="111"/>
      <c r="FBX161" s="111"/>
      <c r="FBY161" s="111"/>
      <c r="FBZ161" s="111"/>
      <c r="FCA161" s="111"/>
      <c r="FCB161" s="111"/>
      <c r="FCC161" s="111"/>
      <c r="FCD161" s="111"/>
      <c r="FCE161" s="111"/>
      <c r="FCF161" s="111"/>
      <c r="FCG161" s="111"/>
      <c r="FCH161" s="111"/>
      <c r="FCI161" s="111"/>
      <c r="FCJ161" s="111"/>
      <c r="FCK161" s="111"/>
      <c r="FCL161" s="111"/>
      <c r="FCM161" s="111"/>
      <c r="FCN161" s="111"/>
      <c r="FCO161" s="111"/>
      <c r="FCP161" s="111"/>
      <c r="FCQ161" s="111"/>
      <c r="FCR161" s="111"/>
      <c r="FCS161" s="111"/>
      <c r="FCT161" s="111"/>
      <c r="FCU161" s="111"/>
      <c r="FCV161" s="111"/>
      <c r="FCW161" s="111"/>
      <c r="FCX161" s="111"/>
      <c r="FCY161" s="111"/>
      <c r="FCZ161" s="111"/>
      <c r="FDA161" s="111"/>
      <c r="FDB161" s="111"/>
      <c r="FDC161" s="111"/>
      <c r="FDD161" s="111"/>
      <c r="FDE161" s="111"/>
      <c r="FDF161" s="111"/>
      <c r="FDG161" s="111"/>
      <c r="FDH161" s="111"/>
      <c r="FDI161" s="111"/>
      <c r="FDJ161" s="111"/>
      <c r="FDK161" s="111"/>
      <c r="FDL161" s="111"/>
      <c r="FDM161" s="111"/>
      <c r="FDN161" s="111"/>
      <c r="FDO161" s="111"/>
      <c r="FDP161" s="111"/>
      <c r="FDQ161" s="111"/>
      <c r="FDR161" s="111"/>
      <c r="FDS161" s="111"/>
      <c r="FDT161" s="111"/>
      <c r="FDU161" s="111"/>
      <c r="FDV161" s="111"/>
      <c r="FDW161" s="111"/>
      <c r="FDX161" s="111"/>
      <c r="FDY161" s="111"/>
      <c r="FDZ161" s="111"/>
      <c r="FEA161" s="111"/>
      <c r="FEB161" s="111"/>
      <c r="FEC161" s="111"/>
      <c r="FED161" s="111"/>
      <c r="FEE161" s="111"/>
      <c r="FEF161" s="111"/>
      <c r="FEG161" s="111"/>
      <c r="FEH161" s="111"/>
      <c r="FEI161" s="111"/>
      <c r="FEJ161" s="111"/>
      <c r="FEK161" s="111"/>
      <c r="FEL161" s="111"/>
      <c r="FEM161" s="111"/>
      <c r="FEN161" s="111"/>
      <c r="FEO161" s="111"/>
      <c r="FEP161" s="111"/>
      <c r="FEQ161" s="111"/>
      <c r="FER161" s="111"/>
      <c r="FES161" s="111"/>
      <c r="FET161" s="111"/>
      <c r="FEU161" s="111"/>
      <c r="FEV161" s="111"/>
      <c r="FEW161" s="111"/>
      <c r="FEX161" s="111"/>
      <c r="FEY161" s="111"/>
      <c r="FEZ161" s="111"/>
      <c r="FFA161" s="111"/>
      <c r="FFB161" s="111"/>
      <c r="FFC161" s="111"/>
      <c r="FFD161" s="111"/>
      <c r="FFE161" s="111"/>
      <c r="FFF161" s="111"/>
      <c r="FFG161" s="111"/>
      <c r="FFH161" s="111"/>
      <c r="FFI161" s="111"/>
      <c r="FFJ161" s="111"/>
      <c r="FFK161" s="111"/>
      <c r="FFL161" s="111"/>
      <c r="FFM161" s="111"/>
      <c r="FFN161" s="111"/>
      <c r="FFO161" s="111"/>
      <c r="FFP161" s="111"/>
      <c r="FFQ161" s="111"/>
      <c r="FFR161" s="111"/>
      <c r="FFS161" s="111"/>
      <c r="FFT161" s="111"/>
      <c r="FFU161" s="111"/>
      <c r="FFV161" s="111"/>
      <c r="FFW161" s="111"/>
      <c r="FFX161" s="111"/>
      <c r="FFY161" s="111"/>
      <c r="FFZ161" s="111"/>
      <c r="FGA161" s="111"/>
      <c r="FGB161" s="111"/>
      <c r="FGC161" s="111"/>
      <c r="FGD161" s="111"/>
      <c r="FGE161" s="111"/>
      <c r="FGF161" s="111"/>
      <c r="FGG161" s="111"/>
      <c r="FGH161" s="111"/>
      <c r="FGI161" s="111"/>
      <c r="FGJ161" s="111"/>
      <c r="FGK161" s="111"/>
      <c r="FGL161" s="111"/>
      <c r="FGM161" s="111"/>
      <c r="FGN161" s="111"/>
      <c r="FGO161" s="111"/>
      <c r="FGP161" s="111"/>
      <c r="FGQ161" s="111"/>
      <c r="FGR161" s="111"/>
      <c r="FGS161" s="111"/>
      <c r="FGT161" s="111"/>
      <c r="FGU161" s="111"/>
      <c r="FGV161" s="111"/>
      <c r="FGW161" s="111"/>
      <c r="FGX161" s="111"/>
      <c r="FGY161" s="111"/>
      <c r="FGZ161" s="111"/>
      <c r="FHA161" s="111"/>
      <c r="FHB161" s="111"/>
      <c r="FHC161" s="111"/>
      <c r="FHD161" s="111"/>
      <c r="FHE161" s="111"/>
      <c r="FHF161" s="111"/>
      <c r="FHG161" s="111"/>
      <c r="FHH161" s="111"/>
      <c r="FHI161" s="111"/>
      <c r="FHJ161" s="111"/>
      <c r="FHK161" s="111"/>
      <c r="FHL161" s="111"/>
      <c r="FHM161" s="111"/>
      <c r="FHN161" s="111"/>
      <c r="FHO161" s="111"/>
      <c r="FHP161" s="111"/>
      <c r="FHQ161" s="111"/>
      <c r="FHR161" s="111"/>
      <c r="FHS161" s="111"/>
      <c r="FHT161" s="111"/>
      <c r="FHU161" s="111"/>
      <c r="FHV161" s="111"/>
      <c r="FHW161" s="111"/>
      <c r="FHX161" s="111"/>
      <c r="FHY161" s="111"/>
      <c r="FHZ161" s="111"/>
      <c r="FIA161" s="111"/>
      <c r="FIB161" s="111"/>
      <c r="FIC161" s="111"/>
      <c r="FID161" s="111"/>
      <c r="FIE161" s="111"/>
      <c r="FIF161" s="111"/>
      <c r="FIG161" s="111"/>
      <c r="FIH161" s="111"/>
      <c r="FII161" s="111"/>
      <c r="FIJ161" s="111"/>
      <c r="FIK161" s="111"/>
      <c r="FIL161" s="111"/>
      <c r="FIM161" s="111"/>
      <c r="FIN161" s="111"/>
      <c r="FIO161" s="111"/>
      <c r="FIP161" s="111"/>
      <c r="FIQ161" s="111"/>
      <c r="FIR161" s="111"/>
      <c r="FIS161" s="111"/>
      <c r="FIT161" s="111"/>
      <c r="FIU161" s="111"/>
      <c r="FIV161" s="111"/>
      <c r="FIW161" s="111"/>
      <c r="FIX161" s="111"/>
      <c r="FIY161" s="111"/>
      <c r="FIZ161" s="111"/>
      <c r="FJA161" s="111"/>
      <c r="FJB161" s="111"/>
      <c r="FJC161" s="111"/>
      <c r="FJD161" s="111"/>
      <c r="FJE161" s="111"/>
      <c r="FJF161" s="111"/>
      <c r="FJG161" s="111"/>
      <c r="FJH161" s="111"/>
      <c r="FJI161" s="111"/>
      <c r="FJJ161" s="111"/>
      <c r="FJK161" s="111"/>
      <c r="FJL161" s="111"/>
      <c r="FJM161" s="111"/>
      <c r="FJN161" s="111"/>
      <c r="FJO161" s="111"/>
      <c r="FJP161" s="111"/>
      <c r="FJQ161" s="111"/>
      <c r="FJR161" s="111"/>
      <c r="FJS161" s="111"/>
      <c r="FJT161" s="111"/>
      <c r="FJU161" s="111"/>
      <c r="FJV161" s="111"/>
      <c r="FJW161" s="111"/>
      <c r="FJX161" s="111"/>
      <c r="FJY161" s="111"/>
      <c r="FJZ161" s="111"/>
      <c r="FKA161" s="111"/>
      <c r="FKB161" s="111"/>
      <c r="FKC161" s="111"/>
      <c r="FKD161" s="111"/>
      <c r="FKE161" s="111"/>
      <c r="FKF161" s="111"/>
      <c r="FKG161" s="111"/>
      <c r="FKH161" s="111"/>
      <c r="FKI161" s="111"/>
      <c r="FKJ161" s="111"/>
      <c r="FKK161" s="111"/>
      <c r="FKL161" s="111"/>
      <c r="FKM161" s="111"/>
      <c r="FKN161" s="111"/>
      <c r="FKO161" s="111"/>
      <c r="FKP161" s="111"/>
      <c r="FKQ161" s="111"/>
      <c r="FKR161" s="111"/>
      <c r="FKS161" s="111"/>
      <c r="FKT161" s="111"/>
      <c r="FKU161" s="111"/>
      <c r="FKV161" s="111"/>
      <c r="FKW161" s="111"/>
      <c r="FKX161" s="111"/>
      <c r="FKY161" s="111"/>
      <c r="FKZ161" s="111"/>
      <c r="FLA161" s="111"/>
      <c r="FLB161" s="111"/>
      <c r="FLC161" s="111"/>
      <c r="FLD161" s="111"/>
      <c r="FLE161" s="111"/>
      <c r="FLF161" s="111"/>
      <c r="FLG161" s="111"/>
      <c r="FLH161" s="111"/>
      <c r="FLI161" s="111"/>
      <c r="FLJ161" s="111"/>
      <c r="FLK161" s="111"/>
      <c r="FLL161" s="111"/>
      <c r="FLM161" s="111"/>
      <c r="FLN161" s="111"/>
      <c r="FLO161" s="111"/>
      <c r="FLP161" s="111"/>
      <c r="FLQ161" s="111"/>
      <c r="FLR161" s="111"/>
      <c r="FLS161" s="111"/>
      <c r="FLT161" s="111"/>
      <c r="FLU161" s="111"/>
      <c r="FLV161" s="111"/>
      <c r="FLW161" s="111"/>
      <c r="FLX161" s="111"/>
      <c r="FLY161" s="111"/>
      <c r="FLZ161" s="111"/>
      <c r="FMA161" s="111"/>
      <c r="FMB161" s="111"/>
      <c r="FMC161" s="111"/>
      <c r="FMD161" s="111"/>
      <c r="FME161" s="111"/>
      <c r="FMF161" s="111"/>
      <c r="FMG161" s="111"/>
      <c r="FMH161" s="111"/>
      <c r="FMI161" s="111"/>
      <c r="FMJ161" s="111"/>
      <c r="FMK161" s="111"/>
      <c r="FML161" s="111"/>
      <c r="FMM161" s="111"/>
      <c r="FMN161" s="111"/>
      <c r="FMO161" s="111"/>
      <c r="FMP161" s="111"/>
      <c r="FMQ161" s="111"/>
      <c r="FMR161" s="111"/>
      <c r="FMS161" s="111"/>
      <c r="FMT161" s="111"/>
      <c r="FMU161" s="111"/>
      <c r="FMV161" s="111"/>
      <c r="FMW161" s="111"/>
      <c r="FMX161" s="111"/>
      <c r="FMY161" s="111"/>
      <c r="FMZ161" s="111"/>
      <c r="FNA161" s="111"/>
      <c r="FNB161" s="111"/>
      <c r="FNC161" s="111"/>
      <c r="FND161" s="111"/>
      <c r="FNE161" s="111"/>
      <c r="FNF161" s="111"/>
      <c r="FNG161" s="111"/>
      <c r="FNH161" s="111"/>
      <c r="FNI161" s="111"/>
      <c r="FNJ161" s="111"/>
      <c r="FNK161" s="111"/>
      <c r="FNL161" s="111"/>
      <c r="FNM161" s="111"/>
      <c r="FNN161" s="111"/>
      <c r="FNO161" s="111"/>
      <c r="FNP161" s="111"/>
      <c r="FNQ161" s="111"/>
      <c r="FNR161" s="111"/>
      <c r="FNS161" s="111"/>
      <c r="FNT161" s="111"/>
      <c r="FNU161" s="111"/>
      <c r="FNV161" s="111"/>
      <c r="FNW161" s="111"/>
      <c r="FNX161" s="111"/>
      <c r="FNY161" s="111"/>
      <c r="FNZ161" s="111"/>
      <c r="FOA161" s="111"/>
      <c r="FOB161" s="111"/>
      <c r="FOC161" s="111"/>
      <c r="FOD161" s="111"/>
      <c r="FOE161" s="111"/>
      <c r="FOF161" s="111"/>
      <c r="FOG161" s="111"/>
      <c r="FOH161" s="111"/>
      <c r="FOI161" s="111"/>
      <c r="FOJ161" s="111"/>
      <c r="FOK161" s="111"/>
      <c r="FOL161" s="111"/>
      <c r="FOM161" s="111"/>
      <c r="FON161" s="111"/>
      <c r="FOO161" s="111"/>
      <c r="FOP161" s="111"/>
      <c r="FOQ161" s="111"/>
      <c r="FOR161" s="111"/>
      <c r="FOS161" s="111"/>
      <c r="FOT161" s="111"/>
      <c r="FOU161" s="111"/>
      <c r="FOV161" s="111"/>
      <c r="FOW161" s="111"/>
      <c r="FOX161" s="111"/>
      <c r="FOY161" s="111"/>
      <c r="FOZ161" s="111"/>
      <c r="FPA161" s="111"/>
      <c r="FPB161" s="111"/>
      <c r="FPC161" s="111"/>
      <c r="FPD161" s="111"/>
      <c r="FPE161" s="111"/>
      <c r="FPF161" s="111"/>
      <c r="FPG161" s="111"/>
      <c r="FPH161" s="111"/>
      <c r="FPI161" s="111"/>
      <c r="FPJ161" s="111"/>
      <c r="FPK161" s="111"/>
      <c r="FPL161" s="111"/>
      <c r="FPM161" s="111"/>
      <c r="FPN161" s="111"/>
      <c r="FPO161" s="111"/>
      <c r="FPP161" s="111"/>
      <c r="FPQ161" s="111"/>
      <c r="FPR161" s="111"/>
      <c r="FPS161" s="111"/>
      <c r="FPT161" s="111"/>
      <c r="FPU161" s="111"/>
      <c r="FPV161" s="111"/>
      <c r="FPW161" s="111"/>
      <c r="FPX161" s="111"/>
      <c r="FPY161" s="111"/>
      <c r="FPZ161" s="111"/>
      <c r="FQA161" s="111"/>
      <c r="FQB161" s="111"/>
      <c r="FQC161" s="111"/>
      <c r="FQD161" s="111"/>
      <c r="FQE161" s="111"/>
      <c r="FQF161" s="111"/>
      <c r="FQG161" s="111"/>
      <c r="FQH161" s="111"/>
      <c r="FQI161" s="111"/>
      <c r="FQJ161" s="111"/>
      <c r="FQK161" s="111"/>
      <c r="FQL161" s="111"/>
      <c r="FQM161" s="111"/>
      <c r="FQN161" s="111"/>
      <c r="FQO161" s="111"/>
      <c r="FQP161" s="111"/>
      <c r="FQQ161" s="111"/>
      <c r="FQR161" s="111"/>
      <c r="FQS161" s="111"/>
      <c r="FQT161" s="111"/>
      <c r="FQU161" s="111"/>
      <c r="FQV161" s="111"/>
      <c r="FQW161" s="111"/>
      <c r="FQX161" s="111"/>
      <c r="FQY161" s="111"/>
      <c r="FQZ161" s="111"/>
      <c r="FRA161" s="111"/>
      <c r="FRB161" s="111"/>
      <c r="FRC161" s="111"/>
      <c r="FRD161" s="111"/>
      <c r="FRE161" s="111"/>
      <c r="FRF161" s="111"/>
      <c r="FRG161" s="111"/>
      <c r="FRH161" s="111"/>
      <c r="FRI161" s="111"/>
      <c r="FRJ161" s="111"/>
      <c r="FRK161" s="111"/>
      <c r="FRL161" s="111"/>
      <c r="FRM161" s="111"/>
      <c r="FRN161" s="111"/>
      <c r="FRO161" s="111"/>
      <c r="FRP161" s="111"/>
      <c r="FRQ161" s="111"/>
      <c r="FRR161" s="111"/>
      <c r="FRS161" s="111"/>
      <c r="FRT161" s="111"/>
      <c r="FRU161" s="111"/>
      <c r="FRV161" s="111"/>
      <c r="FRW161" s="111"/>
      <c r="FRX161" s="111"/>
      <c r="FRY161" s="111"/>
      <c r="FRZ161" s="111"/>
      <c r="FSA161" s="111"/>
      <c r="FSB161" s="111"/>
      <c r="FSC161" s="111"/>
      <c r="FSD161" s="111"/>
      <c r="FSE161" s="111"/>
      <c r="FSF161" s="111"/>
      <c r="FSG161" s="111"/>
      <c r="FSH161" s="111"/>
      <c r="FSI161" s="111"/>
      <c r="FSJ161" s="111"/>
      <c r="FSK161" s="111"/>
      <c r="FSL161" s="111"/>
      <c r="FSM161" s="111"/>
      <c r="FSN161" s="111"/>
      <c r="FSO161" s="111"/>
      <c r="FSP161" s="111"/>
      <c r="FSQ161" s="111"/>
      <c r="FSR161" s="111"/>
      <c r="FSS161" s="111"/>
      <c r="FST161" s="111"/>
      <c r="FSU161" s="111"/>
      <c r="FSV161" s="111"/>
      <c r="FSW161" s="111"/>
      <c r="FSX161" s="111"/>
      <c r="FSY161" s="111"/>
      <c r="FSZ161" s="111"/>
      <c r="FTA161" s="111"/>
      <c r="FTB161" s="111"/>
      <c r="FTC161" s="111"/>
      <c r="FTD161" s="111"/>
      <c r="FTE161" s="111"/>
      <c r="FTF161" s="111"/>
      <c r="FTG161" s="111"/>
      <c r="FTH161" s="111"/>
      <c r="FTI161" s="111"/>
      <c r="FTJ161" s="111"/>
      <c r="FTK161" s="111"/>
      <c r="FTL161" s="111"/>
      <c r="FTM161" s="111"/>
      <c r="FTN161" s="111"/>
      <c r="FTO161" s="111"/>
      <c r="FTP161" s="111"/>
      <c r="FTQ161" s="111"/>
      <c r="FTR161" s="111"/>
      <c r="FTS161" s="111"/>
      <c r="FTT161" s="111"/>
      <c r="FTU161" s="111"/>
      <c r="FTV161" s="111"/>
      <c r="FTW161" s="111"/>
      <c r="FTX161" s="111"/>
      <c r="FTY161" s="111"/>
      <c r="FTZ161" s="111"/>
      <c r="FUA161" s="111"/>
      <c r="FUB161" s="111"/>
      <c r="FUC161" s="111"/>
      <c r="FUD161" s="111"/>
      <c r="FUE161" s="111"/>
      <c r="FUF161" s="111"/>
      <c r="FUG161" s="111"/>
      <c r="FUH161" s="111"/>
      <c r="FUI161" s="111"/>
      <c r="FUJ161" s="111"/>
      <c r="FUK161" s="111"/>
      <c r="FUL161" s="111"/>
      <c r="FUM161" s="111"/>
      <c r="FUN161" s="111"/>
      <c r="FUO161" s="111"/>
      <c r="FUP161" s="111"/>
      <c r="FUQ161" s="111"/>
      <c r="FUR161" s="111"/>
      <c r="FUS161" s="111"/>
      <c r="FUT161" s="111"/>
      <c r="FUU161" s="111"/>
      <c r="FUV161" s="111"/>
      <c r="FUW161" s="111"/>
      <c r="FUX161" s="111"/>
      <c r="FUY161" s="111"/>
      <c r="FUZ161" s="111"/>
      <c r="FVA161" s="111"/>
      <c r="FVB161" s="111"/>
      <c r="FVC161" s="111"/>
      <c r="FVD161" s="111"/>
      <c r="FVE161" s="111"/>
      <c r="FVF161" s="111"/>
      <c r="FVG161" s="111"/>
      <c r="FVH161" s="111"/>
      <c r="FVI161" s="111"/>
      <c r="FVJ161" s="111"/>
      <c r="FVK161" s="111"/>
      <c r="FVL161" s="111"/>
      <c r="FVM161" s="111"/>
      <c r="FVN161" s="111"/>
      <c r="FVO161" s="111"/>
      <c r="FVP161" s="111"/>
      <c r="FVQ161" s="111"/>
      <c r="FVR161" s="111"/>
      <c r="FVS161" s="111"/>
      <c r="FVT161" s="111"/>
      <c r="FVU161" s="111"/>
      <c r="FVV161" s="111"/>
      <c r="FVW161" s="111"/>
      <c r="FVX161" s="111"/>
      <c r="FVY161" s="111"/>
      <c r="FVZ161" s="111"/>
      <c r="FWA161" s="111"/>
      <c r="FWB161" s="111"/>
      <c r="FWC161" s="111"/>
      <c r="FWD161" s="111"/>
      <c r="FWE161" s="111"/>
      <c r="FWF161" s="111"/>
      <c r="FWG161" s="111"/>
      <c r="FWH161" s="111"/>
      <c r="FWI161" s="111"/>
      <c r="FWJ161" s="111"/>
      <c r="FWK161" s="111"/>
      <c r="FWL161" s="111"/>
      <c r="FWM161" s="111"/>
      <c r="FWN161" s="111"/>
      <c r="FWO161" s="111"/>
      <c r="FWP161" s="111"/>
      <c r="FWQ161" s="111"/>
      <c r="FWR161" s="111"/>
      <c r="FWS161" s="111"/>
      <c r="FWT161" s="111"/>
      <c r="FWU161" s="111"/>
      <c r="FWV161" s="111"/>
      <c r="FWW161" s="111"/>
      <c r="FWX161" s="111"/>
      <c r="FWY161" s="111"/>
      <c r="FWZ161" s="111"/>
      <c r="FXA161" s="111"/>
      <c r="FXB161" s="111"/>
      <c r="FXC161" s="111"/>
      <c r="FXD161" s="111"/>
      <c r="FXE161" s="111"/>
      <c r="FXF161" s="111"/>
      <c r="FXG161" s="111"/>
      <c r="FXH161" s="111"/>
      <c r="FXI161" s="111"/>
      <c r="FXJ161" s="111"/>
      <c r="FXK161" s="111"/>
      <c r="FXL161" s="111"/>
      <c r="FXM161" s="111"/>
      <c r="FXN161" s="111"/>
      <c r="FXO161" s="111"/>
      <c r="FXP161" s="111"/>
      <c r="FXQ161" s="111"/>
      <c r="FXR161" s="111"/>
      <c r="FXS161" s="111"/>
      <c r="FXT161" s="111"/>
      <c r="FXU161" s="111"/>
      <c r="FXV161" s="111"/>
      <c r="FXW161" s="111"/>
      <c r="FXX161" s="111"/>
      <c r="FXY161" s="111"/>
      <c r="FXZ161" s="111"/>
      <c r="FYA161" s="111"/>
      <c r="FYB161" s="111"/>
      <c r="FYC161" s="111"/>
      <c r="FYD161" s="111"/>
      <c r="FYE161" s="111"/>
      <c r="FYF161" s="111"/>
      <c r="FYG161" s="111"/>
      <c r="FYH161" s="111"/>
      <c r="FYI161" s="111"/>
      <c r="FYJ161" s="111"/>
      <c r="FYK161" s="111"/>
      <c r="FYL161" s="111"/>
      <c r="FYM161" s="111"/>
      <c r="FYN161" s="111"/>
      <c r="FYO161" s="111"/>
      <c r="FYP161" s="111"/>
      <c r="FYQ161" s="111"/>
      <c r="FYR161" s="111"/>
      <c r="FYS161" s="111"/>
      <c r="FYT161" s="111"/>
      <c r="FYU161" s="111"/>
      <c r="FYV161" s="111"/>
      <c r="FYW161" s="111"/>
      <c r="FYX161" s="111"/>
      <c r="FYY161" s="111"/>
      <c r="FYZ161" s="111"/>
      <c r="FZA161" s="111"/>
      <c r="FZB161" s="111"/>
      <c r="FZC161" s="111"/>
      <c r="FZD161" s="111"/>
      <c r="FZE161" s="111"/>
      <c r="FZF161" s="111"/>
      <c r="FZG161" s="111"/>
      <c r="FZH161" s="111"/>
      <c r="FZI161" s="111"/>
      <c r="FZJ161" s="111"/>
      <c r="FZK161" s="111"/>
      <c r="FZL161" s="111"/>
      <c r="FZM161" s="111"/>
      <c r="FZN161" s="111"/>
      <c r="FZO161" s="111"/>
      <c r="FZP161" s="111"/>
      <c r="FZQ161" s="111"/>
      <c r="FZR161" s="111"/>
      <c r="FZS161" s="111"/>
      <c r="FZT161" s="111"/>
      <c r="FZU161" s="111"/>
      <c r="FZV161" s="111"/>
      <c r="FZW161" s="111"/>
      <c r="FZX161" s="111"/>
      <c r="FZY161" s="111"/>
      <c r="FZZ161" s="111"/>
      <c r="GAA161" s="111"/>
      <c r="GAB161" s="111"/>
      <c r="GAC161" s="111"/>
      <c r="GAD161" s="111"/>
      <c r="GAE161" s="111"/>
      <c r="GAF161" s="111"/>
      <c r="GAG161" s="111"/>
      <c r="GAH161" s="111"/>
      <c r="GAI161" s="111"/>
      <c r="GAJ161" s="111"/>
      <c r="GAK161" s="111"/>
      <c r="GAL161" s="111"/>
      <c r="GAM161" s="111"/>
      <c r="GAN161" s="111"/>
      <c r="GAO161" s="111"/>
      <c r="GAP161" s="111"/>
      <c r="GAQ161" s="111"/>
      <c r="GAR161" s="111"/>
      <c r="GAS161" s="111"/>
      <c r="GAT161" s="111"/>
      <c r="GAU161" s="111"/>
      <c r="GAV161" s="111"/>
      <c r="GAW161" s="111"/>
      <c r="GAX161" s="111"/>
      <c r="GAY161" s="111"/>
      <c r="GAZ161" s="111"/>
      <c r="GBA161" s="111"/>
      <c r="GBB161" s="111"/>
      <c r="GBC161" s="111"/>
      <c r="GBD161" s="111"/>
      <c r="GBE161" s="111"/>
      <c r="GBF161" s="111"/>
      <c r="GBG161" s="111"/>
      <c r="GBH161" s="111"/>
      <c r="GBI161" s="111"/>
      <c r="GBJ161" s="111"/>
      <c r="GBK161" s="111"/>
      <c r="GBL161" s="111"/>
      <c r="GBM161" s="111"/>
      <c r="GBN161" s="111"/>
      <c r="GBO161" s="111"/>
      <c r="GBP161" s="111"/>
      <c r="GBQ161" s="111"/>
      <c r="GBR161" s="111"/>
      <c r="GBS161" s="111"/>
      <c r="GBT161" s="111"/>
      <c r="GBU161" s="111"/>
      <c r="GBV161" s="111"/>
      <c r="GBW161" s="111"/>
      <c r="GBX161" s="111"/>
      <c r="GBY161" s="111"/>
      <c r="GBZ161" s="111"/>
      <c r="GCA161" s="111"/>
      <c r="GCB161" s="111"/>
      <c r="GCC161" s="111"/>
      <c r="GCD161" s="111"/>
      <c r="GCE161" s="111"/>
      <c r="GCF161" s="111"/>
      <c r="GCG161" s="111"/>
      <c r="GCH161" s="111"/>
      <c r="GCI161" s="111"/>
      <c r="GCJ161" s="111"/>
      <c r="GCK161" s="111"/>
      <c r="GCL161" s="111"/>
      <c r="GCM161" s="111"/>
      <c r="GCN161" s="111"/>
      <c r="GCO161" s="111"/>
      <c r="GCP161" s="111"/>
      <c r="GCQ161" s="111"/>
      <c r="GCR161" s="111"/>
      <c r="GCS161" s="111"/>
      <c r="GCT161" s="111"/>
      <c r="GCU161" s="111"/>
      <c r="GCV161" s="111"/>
      <c r="GCW161" s="111"/>
      <c r="GCX161" s="111"/>
      <c r="GCY161" s="111"/>
      <c r="GCZ161" s="111"/>
      <c r="GDA161" s="111"/>
      <c r="GDB161" s="111"/>
      <c r="GDC161" s="111"/>
      <c r="GDD161" s="111"/>
      <c r="GDE161" s="111"/>
      <c r="GDF161" s="111"/>
      <c r="GDG161" s="111"/>
      <c r="GDH161" s="111"/>
      <c r="GDI161" s="111"/>
      <c r="GDJ161" s="111"/>
      <c r="GDK161" s="111"/>
      <c r="GDL161" s="111"/>
      <c r="GDM161" s="111"/>
      <c r="GDN161" s="111"/>
      <c r="GDO161" s="111"/>
      <c r="GDP161" s="111"/>
      <c r="GDQ161" s="111"/>
      <c r="GDR161" s="111"/>
      <c r="GDS161" s="111"/>
      <c r="GDT161" s="111"/>
      <c r="GDU161" s="111"/>
      <c r="GDV161" s="111"/>
      <c r="GDW161" s="111"/>
      <c r="GDX161" s="111"/>
      <c r="GDY161" s="111"/>
      <c r="GDZ161" s="111"/>
      <c r="GEA161" s="111"/>
      <c r="GEB161" s="111"/>
      <c r="GEC161" s="111"/>
      <c r="GED161" s="111"/>
      <c r="GEE161" s="111"/>
      <c r="GEF161" s="111"/>
      <c r="GEG161" s="111"/>
      <c r="GEH161" s="111"/>
      <c r="GEI161" s="111"/>
      <c r="GEJ161" s="111"/>
      <c r="GEK161" s="111"/>
      <c r="GEL161" s="111"/>
      <c r="GEM161" s="111"/>
      <c r="GEN161" s="111"/>
      <c r="GEO161" s="111"/>
      <c r="GEP161" s="111"/>
      <c r="GEQ161" s="111"/>
      <c r="GER161" s="111"/>
      <c r="GES161" s="111"/>
      <c r="GET161" s="111"/>
      <c r="GEU161" s="111"/>
      <c r="GEV161" s="111"/>
      <c r="GEW161" s="111"/>
      <c r="GEX161" s="111"/>
      <c r="GEY161" s="111"/>
      <c r="GEZ161" s="111"/>
      <c r="GFA161" s="111"/>
      <c r="GFB161" s="111"/>
      <c r="GFC161" s="111"/>
      <c r="GFD161" s="111"/>
      <c r="GFE161" s="111"/>
      <c r="GFF161" s="111"/>
      <c r="GFG161" s="111"/>
      <c r="GFH161" s="111"/>
      <c r="GFI161" s="111"/>
      <c r="GFJ161" s="111"/>
      <c r="GFK161" s="111"/>
      <c r="GFL161" s="111"/>
      <c r="GFM161" s="111"/>
      <c r="GFN161" s="111"/>
      <c r="GFO161" s="111"/>
      <c r="GFP161" s="111"/>
      <c r="GFQ161" s="111"/>
      <c r="GFR161" s="111"/>
      <c r="GFS161" s="111"/>
      <c r="GFT161" s="111"/>
      <c r="GFU161" s="111"/>
      <c r="GFV161" s="111"/>
      <c r="GFW161" s="111"/>
      <c r="GFX161" s="111"/>
      <c r="GFY161" s="111"/>
      <c r="GFZ161" s="111"/>
      <c r="GGA161" s="111"/>
      <c r="GGB161" s="111"/>
      <c r="GGC161" s="111"/>
      <c r="GGD161" s="111"/>
      <c r="GGE161" s="111"/>
      <c r="GGF161" s="111"/>
      <c r="GGG161" s="111"/>
      <c r="GGH161" s="111"/>
      <c r="GGI161" s="111"/>
      <c r="GGJ161" s="111"/>
      <c r="GGK161" s="111"/>
      <c r="GGL161" s="111"/>
      <c r="GGM161" s="111"/>
      <c r="GGN161" s="111"/>
      <c r="GGO161" s="111"/>
      <c r="GGP161" s="111"/>
      <c r="GGQ161" s="111"/>
      <c r="GGR161" s="111"/>
      <c r="GGS161" s="111"/>
      <c r="GGT161" s="111"/>
      <c r="GGU161" s="111"/>
      <c r="GGV161" s="111"/>
      <c r="GGW161" s="111"/>
      <c r="GGX161" s="111"/>
      <c r="GGY161" s="111"/>
      <c r="GGZ161" s="111"/>
      <c r="GHA161" s="111"/>
      <c r="GHB161" s="111"/>
      <c r="GHC161" s="111"/>
      <c r="GHD161" s="111"/>
      <c r="GHE161" s="111"/>
      <c r="GHF161" s="111"/>
      <c r="GHG161" s="111"/>
      <c r="GHH161" s="111"/>
      <c r="GHI161" s="111"/>
      <c r="GHJ161" s="111"/>
      <c r="GHK161" s="111"/>
      <c r="GHL161" s="111"/>
      <c r="GHM161" s="111"/>
      <c r="GHN161" s="111"/>
      <c r="GHO161" s="111"/>
      <c r="GHP161" s="111"/>
      <c r="GHQ161" s="111"/>
      <c r="GHR161" s="111"/>
      <c r="GHS161" s="111"/>
      <c r="GHT161" s="111"/>
      <c r="GHU161" s="111"/>
      <c r="GHV161" s="111"/>
      <c r="GHW161" s="111"/>
      <c r="GHX161" s="111"/>
      <c r="GHY161" s="111"/>
      <c r="GHZ161" s="111"/>
      <c r="GIA161" s="111"/>
      <c r="GIB161" s="111"/>
      <c r="GIC161" s="111"/>
      <c r="GID161" s="111"/>
      <c r="GIE161" s="111"/>
      <c r="GIF161" s="111"/>
      <c r="GIG161" s="111"/>
      <c r="GIH161" s="111"/>
      <c r="GII161" s="111"/>
      <c r="GIJ161" s="111"/>
      <c r="GIK161" s="111"/>
      <c r="GIL161" s="111"/>
      <c r="GIM161" s="111"/>
      <c r="GIN161" s="111"/>
      <c r="GIO161" s="111"/>
      <c r="GIP161" s="111"/>
      <c r="GIQ161" s="111"/>
      <c r="GIR161" s="111"/>
      <c r="GIS161" s="111"/>
      <c r="GIT161" s="111"/>
      <c r="GIU161" s="111"/>
      <c r="GIV161" s="111"/>
      <c r="GIW161" s="111"/>
      <c r="GIX161" s="111"/>
      <c r="GIY161" s="111"/>
      <c r="GIZ161" s="111"/>
      <c r="GJA161" s="111"/>
      <c r="GJB161" s="111"/>
      <c r="GJC161" s="111"/>
      <c r="GJD161" s="111"/>
      <c r="GJE161" s="111"/>
      <c r="GJF161" s="111"/>
      <c r="GJG161" s="111"/>
      <c r="GJH161" s="111"/>
      <c r="GJI161" s="111"/>
      <c r="GJJ161" s="111"/>
      <c r="GJK161" s="111"/>
      <c r="GJL161" s="111"/>
      <c r="GJM161" s="111"/>
      <c r="GJN161" s="111"/>
      <c r="GJO161" s="111"/>
      <c r="GJP161" s="111"/>
      <c r="GJQ161" s="111"/>
      <c r="GJR161" s="111"/>
      <c r="GJS161" s="111"/>
      <c r="GJT161" s="111"/>
      <c r="GJU161" s="111"/>
      <c r="GJV161" s="111"/>
      <c r="GJW161" s="111"/>
      <c r="GJX161" s="111"/>
      <c r="GJY161" s="111"/>
      <c r="GJZ161" s="111"/>
      <c r="GKA161" s="111"/>
      <c r="GKB161" s="111"/>
      <c r="GKC161" s="111"/>
      <c r="GKD161" s="111"/>
      <c r="GKE161" s="111"/>
      <c r="GKF161" s="111"/>
      <c r="GKG161" s="111"/>
      <c r="GKH161" s="111"/>
      <c r="GKI161" s="111"/>
      <c r="GKJ161" s="111"/>
      <c r="GKK161" s="111"/>
      <c r="GKL161" s="111"/>
      <c r="GKM161" s="111"/>
      <c r="GKN161" s="111"/>
      <c r="GKO161" s="111"/>
      <c r="GKP161" s="111"/>
      <c r="GKQ161" s="111"/>
      <c r="GKR161" s="111"/>
      <c r="GKS161" s="111"/>
      <c r="GKT161" s="111"/>
      <c r="GKU161" s="111"/>
      <c r="GKV161" s="111"/>
      <c r="GKW161" s="111"/>
      <c r="GKX161" s="111"/>
      <c r="GKY161" s="111"/>
      <c r="GKZ161" s="111"/>
      <c r="GLA161" s="111"/>
      <c r="GLB161" s="111"/>
      <c r="GLC161" s="111"/>
      <c r="GLD161" s="111"/>
      <c r="GLE161" s="111"/>
      <c r="GLF161" s="111"/>
      <c r="GLG161" s="111"/>
      <c r="GLH161" s="111"/>
      <c r="GLI161" s="111"/>
      <c r="GLJ161" s="111"/>
      <c r="GLK161" s="111"/>
      <c r="GLL161" s="111"/>
      <c r="GLM161" s="111"/>
      <c r="GLN161" s="111"/>
      <c r="GLO161" s="111"/>
      <c r="GLP161" s="111"/>
      <c r="GLQ161" s="111"/>
      <c r="GLR161" s="111"/>
      <c r="GLS161" s="111"/>
      <c r="GLT161" s="111"/>
      <c r="GLU161" s="111"/>
      <c r="GLV161" s="111"/>
      <c r="GLW161" s="111"/>
      <c r="GLX161" s="111"/>
      <c r="GLY161" s="111"/>
      <c r="GLZ161" s="111"/>
      <c r="GMA161" s="111"/>
      <c r="GMB161" s="111"/>
      <c r="GMC161" s="111"/>
      <c r="GMD161" s="111"/>
      <c r="GME161" s="111"/>
      <c r="GMF161" s="111"/>
      <c r="GMG161" s="111"/>
      <c r="GMH161" s="111"/>
      <c r="GMI161" s="111"/>
      <c r="GMJ161" s="111"/>
      <c r="GMK161" s="111"/>
      <c r="GML161" s="111"/>
      <c r="GMM161" s="111"/>
      <c r="GMN161" s="111"/>
      <c r="GMO161" s="111"/>
      <c r="GMP161" s="111"/>
      <c r="GMQ161" s="111"/>
      <c r="GMR161" s="111"/>
      <c r="GMS161" s="111"/>
      <c r="GMT161" s="111"/>
      <c r="GMU161" s="111"/>
      <c r="GMV161" s="111"/>
      <c r="GMW161" s="111"/>
      <c r="GMX161" s="111"/>
      <c r="GMY161" s="111"/>
      <c r="GMZ161" s="111"/>
      <c r="GNA161" s="111"/>
      <c r="GNB161" s="111"/>
      <c r="GNC161" s="111"/>
      <c r="GND161" s="111"/>
      <c r="GNE161" s="111"/>
      <c r="GNF161" s="111"/>
      <c r="GNG161" s="111"/>
      <c r="GNH161" s="111"/>
      <c r="GNI161" s="111"/>
      <c r="GNJ161" s="111"/>
      <c r="GNK161" s="111"/>
      <c r="GNL161" s="111"/>
      <c r="GNM161" s="111"/>
      <c r="GNN161" s="111"/>
      <c r="GNO161" s="111"/>
      <c r="GNP161" s="111"/>
      <c r="GNQ161" s="111"/>
      <c r="GNR161" s="111"/>
      <c r="GNS161" s="111"/>
      <c r="GNT161" s="111"/>
      <c r="GNU161" s="111"/>
      <c r="GNV161" s="111"/>
      <c r="GNW161" s="111"/>
      <c r="GNX161" s="111"/>
      <c r="GNY161" s="111"/>
      <c r="GNZ161" s="111"/>
      <c r="GOA161" s="111"/>
      <c r="GOB161" s="111"/>
      <c r="GOC161" s="111"/>
      <c r="GOD161" s="111"/>
      <c r="GOE161" s="111"/>
      <c r="GOF161" s="111"/>
      <c r="GOG161" s="111"/>
      <c r="GOH161" s="111"/>
      <c r="GOI161" s="111"/>
      <c r="GOJ161" s="111"/>
      <c r="GOK161" s="111"/>
      <c r="GOL161" s="111"/>
      <c r="GOM161" s="111"/>
      <c r="GON161" s="111"/>
      <c r="GOO161" s="111"/>
      <c r="GOP161" s="111"/>
      <c r="GOQ161" s="111"/>
      <c r="GOR161" s="111"/>
      <c r="GOS161" s="111"/>
      <c r="GOT161" s="111"/>
      <c r="GOU161" s="111"/>
      <c r="GOV161" s="111"/>
      <c r="GOW161" s="111"/>
      <c r="GOX161" s="111"/>
      <c r="GOY161" s="111"/>
      <c r="GOZ161" s="111"/>
      <c r="GPA161" s="111"/>
      <c r="GPB161" s="111"/>
      <c r="GPC161" s="111"/>
      <c r="GPD161" s="111"/>
      <c r="GPE161" s="111"/>
      <c r="GPF161" s="111"/>
      <c r="GPG161" s="111"/>
      <c r="GPH161" s="111"/>
      <c r="GPI161" s="111"/>
      <c r="GPJ161" s="111"/>
      <c r="GPK161" s="111"/>
      <c r="GPL161" s="111"/>
      <c r="GPM161" s="111"/>
      <c r="GPN161" s="111"/>
      <c r="GPO161" s="111"/>
      <c r="GPP161" s="111"/>
      <c r="GPQ161" s="111"/>
      <c r="GPR161" s="111"/>
      <c r="GPS161" s="111"/>
      <c r="GPT161" s="111"/>
      <c r="GPU161" s="111"/>
      <c r="GPV161" s="111"/>
      <c r="GPW161" s="111"/>
      <c r="GPX161" s="111"/>
      <c r="GPY161" s="111"/>
      <c r="GPZ161" s="111"/>
      <c r="GQA161" s="111"/>
      <c r="GQB161" s="111"/>
      <c r="GQC161" s="111"/>
      <c r="GQD161" s="111"/>
      <c r="GQE161" s="111"/>
      <c r="GQF161" s="111"/>
      <c r="GQG161" s="111"/>
      <c r="GQH161" s="111"/>
      <c r="GQI161" s="111"/>
      <c r="GQJ161" s="111"/>
      <c r="GQK161" s="111"/>
      <c r="GQL161" s="111"/>
      <c r="GQM161" s="111"/>
      <c r="GQN161" s="111"/>
      <c r="GQO161" s="111"/>
      <c r="GQP161" s="111"/>
      <c r="GQQ161" s="111"/>
      <c r="GQR161" s="111"/>
      <c r="GQS161" s="111"/>
      <c r="GQT161" s="111"/>
      <c r="GQU161" s="111"/>
      <c r="GQV161" s="111"/>
      <c r="GQW161" s="111"/>
      <c r="GQX161" s="111"/>
      <c r="GQY161" s="111"/>
      <c r="GQZ161" s="111"/>
      <c r="GRA161" s="111"/>
      <c r="GRB161" s="111"/>
      <c r="GRC161" s="111"/>
      <c r="GRD161" s="111"/>
      <c r="GRE161" s="111"/>
      <c r="GRF161" s="111"/>
      <c r="GRG161" s="111"/>
      <c r="GRH161" s="111"/>
      <c r="GRI161" s="111"/>
      <c r="GRJ161" s="111"/>
      <c r="GRK161" s="111"/>
      <c r="GRL161" s="111"/>
      <c r="GRM161" s="111"/>
      <c r="GRN161" s="111"/>
      <c r="GRO161" s="111"/>
      <c r="GRP161" s="111"/>
      <c r="GRQ161" s="111"/>
      <c r="GRR161" s="111"/>
      <c r="GRS161" s="111"/>
      <c r="GRT161" s="111"/>
      <c r="GRU161" s="111"/>
      <c r="GRV161" s="111"/>
      <c r="GRW161" s="111"/>
      <c r="GRX161" s="111"/>
      <c r="GRY161" s="111"/>
      <c r="GRZ161" s="111"/>
      <c r="GSA161" s="111"/>
      <c r="GSB161" s="111"/>
      <c r="GSC161" s="111"/>
      <c r="GSD161" s="111"/>
      <c r="GSE161" s="111"/>
      <c r="GSF161" s="111"/>
      <c r="GSG161" s="111"/>
      <c r="GSH161" s="111"/>
      <c r="GSI161" s="111"/>
      <c r="GSJ161" s="111"/>
      <c r="GSK161" s="111"/>
      <c r="GSL161" s="111"/>
      <c r="GSM161" s="111"/>
      <c r="GSN161" s="111"/>
      <c r="GSO161" s="111"/>
      <c r="GSP161" s="111"/>
      <c r="GSQ161" s="111"/>
      <c r="GSR161" s="111"/>
      <c r="GSS161" s="111"/>
      <c r="GST161" s="111"/>
      <c r="GSU161" s="111"/>
      <c r="GSV161" s="111"/>
      <c r="GSW161" s="111"/>
      <c r="GSX161" s="111"/>
      <c r="GSY161" s="111"/>
      <c r="GSZ161" s="111"/>
      <c r="GTA161" s="111"/>
      <c r="GTB161" s="111"/>
      <c r="GTC161" s="111"/>
      <c r="GTD161" s="111"/>
      <c r="GTE161" s="111"/>
      <c r="GTF161" s="111"/>
      <c r="GTG161" s="111"/>
      <c r="GTH161" s="111"/>
      <c r="GTI161" s="111"/>
      <c r="GTJ161" s="111"/>
      <c r="GTK161" s="111"/>
      <c r="GTL161" s="111"/>
      <c r="GTM161" s="111"/>
      <c r="GTN161" s="111"/>
      <c r="GTO161" s="111"/>
      <c r="GTP161" s="111"/>
      <c r="GTQ161" s="111"/>
      <c r="GTR161" s="111"/>
      <c r="GTS161" s="111"/>
      <c r="GTT161" s="111"/>
      <c r="GTU161" s="111"/>
      <c r="GTV161" s="111"/>
      <c r="GTW161" s="111"/>
      <c r="GTX161" s="111"/>
      <c r="GTY161" s="111"/>
      <c r="GTZ161" s="111"/>
      <c r="GUA161" s="111"/>
      <c r="GUB161" s="111"/>
      <c r="GUC161" s="111"/>
      <c r="GUD161" s="111"/>
      <c r="GUE161" s="111"/>
      <c r="GUF161" s="111"/>
      <c r="GUG161" s="111"/>
      <c r="GUH161" s="111"/>
      <c r="GUI161" s="111"/>
      <c r="GUJ161" s="111"/>
      <c r="GUK161" s="111"/>
      <c r="GUL161" s="111"/>
      <c r="GUM161" s="111"/>
      <c r="GUN161" s="111"/>
      <c r="GUO161" s="111"/>
      <c r="GUP161" s="111"/>
      <c r="GUQ161" s="111"/>
      <c r="GUR161" s="111"/>
      <c r="GUS161" s="111"/>
      <c r="GUT161" s="111"/>
      <c r="GUU161" s="111"/>
      <c r="GUV161" s="111"/>
      <c r="GUW161" s="111"/>
      <c r="GUX161" s="111"/>
      <c r="GUY161" s="111"/>
      <c r="GUZ161" s="111"/>
      <c r="GVA161" s="111"/>
      <c r="GVB161" s="111"/>
      <c r="GVC161" s="111"/>
      <c r="GVD161" s="111"/>
      <c r="GVE161" s="111"/>
      <c r="GVF161" s="111"/>
      <c r="GVG161" s="111"/>
      <c r="GVH161" s="111"/>
      <c r="GVI161" s="111"/>
      <c r="GVJ161" s="111"/>
      <c r="GVK161" s="111"/>
      <c r="GVL161" s="111"/>
      <c r="GVM161" s="111"/>
      <c r="GVN161" s="111"/>
      <c r="GVO161" s="111"/>
      <c r="GVP161" s="111"/>
      <c r="GVQ161" s="111"/>
      <c r="GVR161" s="111"/>
      <c r="GVS161" s="111"/>
      <c r="GVT161" s="111"/>
      <c r="GVU161" s="111"/>
      <c r="GVV161" s="111"/>
      <c r="GVW161" s="111"/>
      <c r="GVX161" s="111"/>
      <c r="GVY161" s="111"/>
      <c r="GVZ161" s="111"/>
      <c r="GWA161" s="111"/>
      <c r="GWB161" s="111"/>
      <c r="GWC161" s="111"/>
      <c r="GWD161" s="111"/>
      <c r="GWE161" s="111"/>
      <c r="GWF161" s="111"/>
      <c r="GWG161" s="111"/>
      <c r="GWH161" s="111"/>
      <c r="GWI161" s="111"/>
      <c r="GWJ161" s="111"/>
      <c r="GWK161" s="111"/>
      <c r="GWL161" s="111"/>
      <c r="GWM161" s="111"/>
      <c r="GWN161" s="111"/>
      <c r="GWO161" s="111"/>
      <c r="GWP161" s="111"/>
      <c r="GWQ161" s="111"/>
      <c r="GWR161" s="111"/>
      <c r="GWS161" s="111"/>
      <c r="GWT161" s="111"/>
      <c r="GWU161" s="111"/>
      <c r="GWV161" s="111"/>
      <c r="GWW161" s="111"/>
      <c r="GWX161" s="111"/>
      <c r="GWY161" s="111"/>
      <c r="GWZ161" s="111"/>
      <c r="GXA161" s="111"/>
      <c r="GXB161" s="111"/>
      <c r="GXC161" s="111"/>
      <c r="GXD161" s="111"/>
      <c r="GXE161" s="111"/>
      <c r="GXF161" s="111"/>
      <c r="GXG161" s="111"/>
      <c r="GXH161" s="111"/>
      <c r="GXI161" s="111"/>
      <c r="GXJ161" s="111"/>
      <c r="GXK161" s="111"/>
      <c r="GXL161" s="111"/>
      <c r="GXM161" s="111"/>
      <c r="GXN161" s="111"/>
      <c r="GXO161" s="111"/>
      <c r="GXP161" s="111"/>
      <c r="GXQ161" s="111"/>
      <c r="GXR161" s="111"/>
      <c r="GXS161" s="111"/>
      <c r="GXT161" s="111"/>
      <c r="GXU161" s="111"/>
      <c r="GXV161" s="111"/>
      <c r="GXW161" s="111"/>
      <c r="GXX161" s="111"/>
      <c r="GXY161" s="111"/>
      <c r="GXZ161" s="111"/>
      <c r="GYA161" s="111"/>
      <c r="GYB161" s="111"/>
      <c r="GYC161" s="111"/>
      <c r="GYD161" s="111"/>
      <c r="GYE161" s="111"/>
      <c r="GYF161" s="111"/>
      <c r="GYG161" s="111"/>
      <c r="GYH161" s="111"/>
      <c r="GYI161" s="111"/>
      <c r="GYJ161" s="111"/>
      <c r="GYK161" s="111"/>
      <c r="GYL161" s="111"/>
      <c r="GYM161" s="111"/>
      <c r="GYN161" s="111"/>
      <c r="GYO161" s="111"/>
      <c r="GYP161" s="111"/>
      <c r="GYQ161" s="111"/>
      <c r="GYR161" s="111"/>
      <c r="GYS161" s="111"/>
      <c r="GYT161" s="111"/>
      <c r="GYU161" s="111"/>
      <c r="GYV161" s="111"/>
      <c r="GYW161" s="111"/>
      <c r="GYX161" s="111"/>
      <c r="GYY161" s="111"/>
      <c r="GYZ161" s="111"/>
      <c r="GZA161" s="111"/>
      <c r="GZB161" s="111"/>
      <c r="GZC161" s="111"/>
      <c r="GZD161" s="111"/>
      <c r="GZE161" s="111"/>
      <c r="GZF161" s="111"/>
      <c r="GZG161" s="111"/>
      <c r="GZH161" s="111"/>
      <c r="GZI161" s="111"/>
      <c r="GZJ161" s="111"/>
      <c r="GZK161" s="111"/>
      <c r="GZL161" s="111"/>
      <c r="GZM161" s="111"/>
      <c r="GZN161" s="111"/>
      <c r="GZO161" s="111"/>
      <c r="GZP161" s="111"/>
      <c r="GZQ161" s="111"/>
      <c r="GZR161" s="111"/>
      <c r="GZS161" s="111"/>
      <c r="GZT161" s="111"/>
      <c r="GZU161" s="111"/>
      <c r="GZV161" s="111"/>
      <c r="GZW161" s="111"/>
      <c r="GZX161" s="111"/>
      <c r="GZY161" s="111"/>
      <c r="GZZ161" s="111"/>
      <c r="HAA161" s="111"/>
      <c r="HAB161" s="111"/>
      <c r="HAC161" s="111"/>
      <c r="HAD161" s="111"/>
      <c r="HAE161" s="111"/>
      <c r="HAF161" s="111"/>
      <c r="HAG161" s="111"/>
      <c r="HAH161" s="111"/>
      <c r="HAI161" s="111"/>
      <c r="HAJ161" s="111"/>
      <c r="HAK161" s="111"/>
      <c r="HAL161" s="111"/>
      <c r="HAM161" s="111"/>
      <c r="HAN161" s="111"/>
      <c r="HAO161" s="111"/>
      <c r="HAP161" s="111"/>
      <c r="HAQ161" s="111"/>
      <c r="HAR161" s="111"/>
      <c r="HAS161" s="111"/>
      <c r="HAT161" s="111"/>
      <c r="HAU161" s="111"/>
      <c r="HAV161" s="111"/>
      <c r="HAW161" s="111"/>
      <c r="HAX161" s="111"/>
      <c r="HAY161" s="111"/>
      <c r="HAZ161" s="111"/>
      <c r="HBA161" s="111"/>
      <c r="HBB161" s="111"/>
      <c r="HBC161" s="111"/>
      <c r="HBD161" s="111"/>
      <c r="HBE161" s="111"/>
      <c r="HBF161" s="111"/>
      <c r="HBG161" s="111"/>
      <c r="HBH161" s="111"/>
      <c r="HBI161" s="111"/>
      <c r="HBJ161" s="111"/>
      <c r="HBK161" s="111"/>
      <c r="HBL161" s="111"/>
      <c r="HBM161" s="111"/>
      <c r="HBN161" s="111"/>
      <c r="HBO161" s="111"/>
      <c r="HBP161" s="111"/>
      <c r="HBQ161" s="111"/>
      <c r="HBR161" s="111"/>
      <c r="HBS161" s="111"/>
      <c r="HBT161" s="111"/>
      <c r="HBU161" s="111"/>
      <c r="HBV161" s="111"/>
      <c r="HBW161" s="111"/>
      <c r="HBX161" s="111"/>
      <c r="HBY161" s="111"/>
      <c r="HBZ161" s="111"/>
      <c r="HCA161" s="111"/>
      <c r="HCB161" s="111"/>
      <c r="HCC161" s="111"/>
      <c r="HCD161" s="111"/>
      <c r="HCE161" s="111"/>
      <c r="HCF161" s="111"/>
      <c r="HCG161" s="111"/>
      <c r="HCH161" s="111"/>
      <c r="HCI161" s="111"/>
      <c r="HCJ161" s="111"/>
      <c r="HCK161" s="111"/>
      <c r="HCL161" s="111"/>
      <c r="HCM161" s="111"/>
      <c r="HCN161" s="111"/>
      <c r="HCO161" s="111"/>
      <c r="HCP161" s="111"/>
      <c r="HCQ161" s="111"/>
      <c r="HCR161" s="111"/>
      <c r="HCS161" s="111"/>
      <c r="HCT161" s="111"/>
      <c r="HCU161" s="111"/>
      <c r="HCV161" s="111"/>
      <c r="HCW161" s="111"/>
      <c r="HCX161" s="111"/>
      <c r="HCY161" s="111"/>
      <c r="HCZ161" s="111"/>
      <c r="HDA161" s="111"/>
      <c r="HDB161" s="111"/>
      <c r="HDC161" s="111"/>
      <c r="HDD161" s="111"/>
      <c r="HDE161" s="111"/>
      <c r="HDF161" s="111"/>
      <c r="HDG161" s="111"/>
      <c r="HDH161" s="111"/>
      <c r="HDI161" s="111"/>
      <c r="HDJ161" s="111"/>
      <c r="HDK161" s="111"/>
      <c r="HDL161" s="111"/>
      <c r="HDM161" s="111"/>
      <c r="HDN161" s="111"/>
      <c r="HDO161" s="111"/>
      <c r="HDP161" s="111"/>
      <c r="HDQ161" s="111"/>
      <c r="HDR161" s="111"/>
      <c r="HDS161" s="111"/>
      <c r="HDT161" s="111"/>
      <c r="HDU161" s="111"/>
      <c r="HDV161" s="111"/>
      <c r="HDW161" s="111"/>
      <c r="HDX161" s="111"/>
      <c r="HDY161" s="111"/>
      <c r="HDZ161" s="111"/>
      <c r="HEA161" s="111"/>
      <c r="HEB161" s="111"/>
      <c r="HEC161" s="111"/>
      <c r="HED161" s="111"/>
      <c r="HEE161" s="111"/>
      <c r="HEF161" s="111"/>
      <c r="HEG161" s="111"/>
      <c r="HEH161" s="111"/>
      <c r="HEI161" s="111"/>
      <c r="HEJ161" s="111"/>
      <c r="HEK161" s="111"/>
      <c r="HEL161" s="111"/>
      <c r="HEM161" s="111"/>
      <c r="HEN161" s="111"/>
      <c r="HEO161" s="111"/>
      <c r="HEP161" s="111"/>
      <c r="HEQ161" s="111"/>
      <c r="HER161" s="111"/>
      <c r="HES161" s="111"/>
      <c r="HET161" s="111"/>
      <c r="HEU161" s="111"/>
      <c r="HEV161" s="111"/>
      <c r="HEW161" s="111"/>
      <c r="HEX161" s="111"/>
      <c r="HEY161" s="111"/>
      <c r="HEZ161" s="111"/>
      <c r="HFA161" s="111"/>
      <c r="HFB161" s="111"/>
      <c r="HFC161" s="111"/>
      <c r="HFD161" s="111"/>
      <c r="HFE161" s="111"/>
      <c r="HFF161" s="111"/>
      <c r="HFG161" s="111"/>
      <c r="HFH161" s="111"/>
      <c r="HFI161" s="111"/>
      <c r="HFJ161" s="111"/>
      <c r="HFK161" s="111"/>
      <c r="HFL161" s="111"/>
      <c r="HFM161" s="111"/>
      <c r="HFN161" s="111"/>
      <c r="HFO161" s="111"/>
      <c r="HFP161" s="111"/>
      <c r="HFQ161" s="111"/>
      <c r="HFR161" s="111"/>
      <c r="HFS161" s="111"/>
      <c r="HFT161" s="111"/>
      <c r="HFU161" s="111"/>
      <c r="HFV161" s="111"/>
      <c r="HFW161" s="111"/>
      <c r="HFX161" s="111"/>
      <c r="HFY161" s="111"/>
      <c r="HFZ161" s="111"/>
      <c r="HGA161" s="111"/>
      <c r="HGB161" s="111"/>
      <c r="HGC161" s="111"/>
      <c r="HGD161" s="111"/>
      <c r="HGE161" s="111"/>
      <c r="HGF161" s="111"/>
      <c r="HGG161" s="111"/>
      <c r="HGH161" s="111"/>
      <c r="HGI161" s="111"/>
      <c r="HGJ161" s="111"/>
      <c r="HGK161" s="111"/>
      <c r="HGL161" s="111"/>
      <c r="HGM161" s="111"/>
      <c r="HGN161" s="111"/>
      <c r="HGO161" s="111"/>
      <c r="HGP161" s="111"/>
      <c r="HGQ161" s="111"/>
      <c r="HGR161" s="111"/>
      <c r="HGS161" s="111"/>
      <c r="HGT161" s="111"/>
      <c r="HGU161" s="111"/>
      <c r="HGV161" s="111"/>
      <c r="HGW161" s="111"/>
      <c r="HGX161" s="111"/>
      <c r="HGY161" s="111"/>
      <c r="HGZ161" s="111"/>
      <c r="HHA161" s="111"/>
      <c r="HHB161" s="111"/>
      <c r="HHC161" s="111"/>
      <c r="HHD161" s="111"/>
      <c r="HHE161" s="111"/>
      <c r="HHF161" s="111"/>
      <c r="HHG161" s="111"/>
      <c r="HHH161" s="111"/>
      <c r="HHI161" s="111"/>
      <c r="HHJ161" s="111"/>
      <c r="HHK161" s="111"/>
      <c r="HHL161" s="111"/>
      <c r="HHM161" s="111"/>
      <c r="HHN161" s="111"/>
      <c r="HHO161" s="111"/>
      <c r="HHP161" s="111"/>
      <c r="HHQ161" s="111"/>
      <c r="HHR161" s="111"/>
      <c r="HHS161" s="111"/>
      <c r="HHT161" s="111"/>
      <c r="HHU161" s="111"/>
      <c r="HHV161" s="111"/>
      <c r="HHW161" s="111"/>
      <c r="HHX161" s="111"/>
      <c r="HHY161" s="111"/>
      <c r="HHZ161" s="111"/>
      <c r="HIA161" s="111"/>
      <c r="HIB161" s="111"/>
      <c r="HIC161" s="111"/>
      <c r="HID161" s="111"/>
      <c r="HIE161" s="111"/>
      <c r="HIF161" s="111"/>
      <c r="HIG161" s="111"/>
      <c r="HIH161" s="111"/>
      <c r="HII161" s="111"/>
      <c r="HIJ161" s="111"/>
      <c r="HIK161" s="111"/>
      <c r="HIL161" s="111"/>
      <c r="HIM161" s="111"/>
      <c r="HIN161" s="111"/>
      <c r="HIO161" s="111"/>
      <c r="HIP161" s="111"/>
      <c r="HIQ161" s="111"/>
      <c r="HIR161" s="111"/>
      <c r="HIS161" s="111"/>
      <c r="HIT161" s="111"/>
      <c r="HIU161" s="111"/>
      <c r="HIV161" s="111"/>
      <c r="HIW161" s="111"/>
      <c r="HIX161" s="111"/>
      <c r="HIY161" s="111"/>
      <c r="HIZ161" s="111"/>
      <c r="HJA161" s="111"/>
      <c r="HJB161" s="111"/>
      <c r="HJC161" s="111"/>
      <c r="HJD161" s="111"/>
      <c r="HJE161" s="111"/>
      <c r="HJF161" s="111"/>
      <c r="HJG161" s="111"/>
      <c r="HJH161" s="111"/>
      <c r="HJI161" s="111"/>
      <c r="HJJ161" s="111"/>
      <c r="HJK161" s="111"/>
      <c r="HJL161" s="111"/>
      <c r="HJM161" s="111"/>
      <c r="HJN161" s="111"/>
      <c r="HJO161" s="111"/>
      <c r="HJP161" s="111"/>
      <c r="HJQ161" s="111"/>
      <c r="HJR161" s="111"/>
      <c r="HJS161" s="111"/>
      <c r="HJT161" s="111"/>
      <c r="HJU161" s="111"/>
      <c r="HJV161" s="111"/>
      <c r="HJW161" s="111"/>
      <c r="HJX161" s="111"/>
      <c r="HJY161" s="111"/>
      <c r="HJZ161" s="111"/>
      <c r="HKA161" s="111"/>
      <c r="HKB161" s="111"/>
      <c r="HKC161" s="111"/>
      <c r="HKD161" s="111"/>
      <c r="HKE161" s="111"/>
      <c r="HKF161" s="111"/>
      <c r="HKG161" s="111"/>
      <c r="HKH161" s="111"/>
      <c r="HKI161" s="111"/>
      <c r="HKJ161" s="111"/>
      <c r="HKK161" s="111"/>
      <c r="HKL161" s="111"/>
      <c r="HKM161" s="111"/>
      <c r="HKN161" s="111"/>
      <c r="HKO161" s="111"/>
      <c r="HKP161" s="111"/>
      <c r="HKQ161" s="111"/>
      <c r="HKR161" s="111"/>
      <c r="HKS161" s="111"/>
      <c r="HKT161" s="111"/>
      <c r="HKU161" s="111"/>
      <c r="HKV161" s="111"/>
      <c r="HKW161" s="111"/>
      <c r="HKX161" s="111"/>
      <c r="HKY161" s="111"/>
      <c r="HKZ161" s="111"/>
      <c r="HLA161" s="111"/>
      <c r="HLB161" s="111"/>
      <c r="HLC161" s="111"/>
      <c r="HLD161" s="111"/>
      <c r="HLE161" s="111"/>
      <c r="HLF161" s="111"/>
      <c r="HLG161" s="111"/>
      <c r="HLH161" s="111"/>
      <c r="HLI161" s="111"/>
      <c r="HLJ161" s="111"/>
      <c r="HLK161" s="111"/>
      <c r="HLL161" s="111"/>
      <c r="HLM161" s="111"/>
      <c r="HLN161" s="111"/>
      <c r="HLO161" s="111"/>
      <c r="HLP161" s="111"/>
      <c r="HLQ161" s="111"/>
      <c r="HLR161" s="111"/>
      <c r="HLS161" s="111"/>
      <c r="HLT161" s="111"/>
      <c r="HLU161" s="111"/>
      <c r="HLV161" s="111"/>
      <c r="HLW161" s="111"/>
      <c r="HLX161" s="111"/>
      <c r="HLY161" s="111"/>
      <c r="HLZ161" s="111"/>
      <c r="HMA161" s="111"/>
      <c r="HMB161" s="111"/>
      <c r="HMC161" s="111"/>
      <c r="HMD161" s="111"/>
      <c r="HME161" s="111"/>
      <c r="HMF161" s="111"/>
      <c r="HMG161" s="111"/>
      <c r="HMH161" s="111"/>
      <c r="HMI161" s="111"/>
      <c r="HMJ161" s="111"/>
      <c r="HMK161" s="111"/>
      <c r="HML161" s="111"/>
      <c r="HMM161" s="111"/>
      <c r="HMN161" s="111"/>
      <c r="HMO161" s="111"/>
      <c r="HMP161" s="111"/>
      <c r="HMQ161" s="111"/>
      <c r="HMR161" s="111"/>
      <c r="HMS161" s="111"/>
      <c r="HMT161" s="111"/>
      <c r="HMU161" s="111"/>
      <c r="HMV161" s="111"/>
      <c r="HMW161" s="111"/>
      <c r="HMX161" s="111"/>
      <c r="HMY161" s="111"/>
      <c r="HMZ161" s="111"/>
      <c r="HNA161" s="111"/>
      <c r="HNB161" s="111"/>
      <c r="HNC161" s="111"/>
      <c r="HND161" s="111"/>
      <c r="HNE161" s="111"/>
      <c r="HNF161" s="111"/>
      <c r="HNG161" s="111"/>
      <c r="HNH161" s="111"/>
      <c r="HNI161" s="111"/>
      <c r="HNJ161" s="111"/>
      <c r="HNK161" s="111"/>
      <c r="HNL161" s="111"/>
      <c r="HNM161" s="111"/>
      <c r="HNN161" s="111"/>
      <c r="HNO161" s="111"/>
      <c r="HNP161" s="111"/>
      <c r="HNQ161" s="111"/>
      <c r="HNR161" s="111"/>
      <c r="HNS161" s="111"/>
      <c r="HNT161" s="111"/>
      <c r="HNU161" s="111"/>
      <c r="HNV161" s="111"/>
      <c r="HNW161" s="111"/>
      <c r="HNX161" s="111"/>
      <c r="HNY161" s="111"/>
      <c r="HNZ161" s="111"/>
      <c r="HOA161" s="111"/>
      <c r="HOB161" s="111"/>
      <c r="HOC161" s="111"/>
      <c r="HOD161" s="111"/>
      <c r="HOE161" s="111"/>
      <c r="HOF161" s="111"/>
      <c r="HOG161" s="111"/>
      <c r="HOH161" s="111"/>
      <c r="HOI161" s="111"/>
      <c r="HOJ161" s="111"/>
      <c r="HOK161" s="111"/>
      <c r="HOL161" s="111"/>
      <c r="HOM161" s="111"/>
      <c r="HON161" s="111"/>
      <c r="HOO161" s="111"/>
      <c r="HOP161" s="111"/>
      <c r="HOQ161" s="111"/>
      <c r="HOR161" s="111"/>
      <c r="HOS161" s="111"/>
      <c r="HOT161" s="111"/>
      <c r="HOU161" s="111"/>
      <c r="HOV161" s="111"/>
      <c r="HOW161" s="111"/>
      <c r="HOX161" s="111"/>
      <c r="HOY161" s="111"/>
      <c r="HOZ161" s="111"/>
      <c r="HPA161" s="111"/>
      <c r="HPB161" s="111"/>
      <c r="HPC161" s="111"/>
      <c r="HPD161" s="111"/>
      <c r="HPE161" s="111"/>
      <c r="HPF161" s="111"/>
      <c r="HPG161" s="111"/>
      <c r="HPH161" s="111"/>
      <c r="HPI161" s="111"/>
      <c r="HPJ161" s="111"/>
      <c r="HPK161" s="111"/>
      <c r="HPL161" s="111"/>
      <c r="HPM161" s="111"/>
      <c r="HPN161" s="111"/>
      <c r="HPO161" s="111"/>
      <c r="HPP161" s="111"/>
      <c r="HPQ161" s="111"/>
      <c r="HPR161" s="111"/>
      <c r="HPS161" s="111"/>
      <c r="HPT161" s="111"/>
      <c r="HPU161" s="111"/>
      <c r="HPV161" s="111"/>
      <c r="HPW161" s="111"/>
      <c r="HPX161" s="111"/>
      <c r="HPY161" s="111"/>
      <c r="HPZ161" s="111"/>
      <c r="HQA161" s="111"/>
      <c r="HQB161" s="111"/>
      <c r="HQC161" s="111"/>
      <c r="HQD161" s="111"/>
      <c r="HQE161" s="111"/>
      <c r="HQF161" s="111"/>
      <c r="HQG161" s="111"/>
      <c r="HQH161" s="111"/>
      <c r="HQI161" s="111"/>
      <c r="HQJ161" s="111"/>
      <c r="HQK161" s="111"/>
      <c r="HQL161" s="111"/>
      <c r="HQM161" s="111"/>
      <c r="HQN161" s="111"/>
      <c r="HQO161" s="111"/>
      <c r="HQP161" s="111"/>
      <c r="HQQ161" s="111"/>
      <c r="HQR161" s="111"/>
      <c r="HQS161" s="111"/>
      <c r="HQT161" s="111"/>
      <c r="HQU161" s="111"/>
      <c r="HQV161" s="111"/>
      <c r="HQW161" s="111"/>
      <c r="HQX161" s="111"/>
      <c r="HQY161" s="111"/>
      <c r="HQZ161" s="111"/>
      <c r="HRA161" s="111"/>
      <c r="HRB161" s="111"/>
      <c r="HRC161" s="111"/>
      <c r="HRD161" s="111"/>
      <c r="HRE161" s="111"/>
      <c r="HRF161" s="111"/>
      <c r="HRG161" s="111"/>
      <c r="HRH161" s="111"/>
      <c r="HRI161" s="111"/>
      <c r="HRJ161" s="111"/>
      <c r="HRK161" s="111"/>
      <c r="HRL161" s="111"/>
      <c r="HRM161" s="111"/>
      <c r="HRN161" s="111"/>
      <c r="HRO161" s="111"/>
      <c r="HRP161" s="111"/>
      <c r="HRQ161" s="111"/>
      <c r="HRR161" s="111"/>
      <c r="HRS161" s="111"/>
      <c r="HRT161" s="111"/>
      <c r="HRU161" s="111"/>
      <c r="HRV161" s="111"/>
      <c r="HRW161" s="111"/>
      <c r="HRX161" s="111"/>
      <c r="HRY161" s="111"/>
      <c r="HRZ161" s="111"/>
      <c r="HSA161" s="111"/>
      <c r="HSB161" s="111"/>
      <c r="HSC161" s="111"/>
      <c r="HSD161" s="111"/>
      <c r="HSE161" s="111"/>
      <c r="HSF161" s="111"/>
      <c r="HSG161" s="111"/>
      <c r="HSH161" s="111"/>
      <c r="HSI161" s="111"/>
      <c r="HSJ161" s="111"/>
      <c r="HSK161" s="111"/>
      <c r="HSL161" s="111"/>
      <c r="HSM161" s="111"/>
      <c r="HSN161" s="111"/>
      <c r="HSO161" s="111"/>
      <c r="HSP161" s="111"/>
      <c r="HSQ161" s="111"/>
      <c r="HSR161" s="111"/>
      <c r="HSS161" s="111"/>
      <c r="HST161" s="111"/>
      <c r="HSU161" s="111"/>
      <c r="HSV161" s="111"/>
      <c r="HSW161" s="111"/>
      <c r="HSX161" s="111"/>
      <c r="HSY161" s="111"/>
      <c r="HSZ161" s="111"/>
      <c r="HTA161" s="111"/>
      <c r="HTB161" s="111"/>
      <c r="HTC161" s="111"/>
      <c r="HTD161" s="111"/>
      <c r="HTE161" s="111"/>
      <c r="HTF161" s="111"/>
      <c r="HTG161" s="111"/>
      <c r="HTH161" s="111"/>
      <c r="HTI161" s="111"/>
      <c r="HTJ161" s="111"/>
      <c r="HTK161" s="111"/>
      <c r="HTL161" s="111"/>
      <c r="HTM161" s="111"/>
      <c r="HTN161" s="111"/>
      <c r="HTO161" s="111"/>
      <c r="HTP161" s="111"/>
      <c r="HTQ161" s="111"/>
      <c r="HTR161" s="111"/>
      <c r="HTS161" s="111"/>
      <c r="HTT161" s="111"/>
      <c r="HTU161" s="111"/>
      <c r="HTV161" s="111"/>
      <c r="HTW161" s="111"/>
      <c r="HTX161" s="111"/>
      <c r="HTY161" s="111"/>
      <c r="HTZ161" s="111"/>
      <c r="HUA161" s="111"/>
      <c r="HUB161" s="111"/>
      <c r="HUC161" s="111"/>
      <c r="HUD161" s="111"/>
      <c r="HUE161" s="111"/>
      <c r="HUF161" s="111"/>
      <c r="HUG161" s="111"/>
      <c r="HUH161" s="111"/>
      <c r="HUI161" s="111"/>
      <c r="HUJ161" s="111"/>
      <c r="HUK161" s="111"/>
      <c r="HUL161" s="111"/>
      <c r="HUM161" s="111"/>
      <c r="HUN161" s="111"/>
      <c r="HUO161" s="111"/>
      <c r="HUP161" s="111"/>
      <c r="HUQ161" s="111"/>
      <c r="HUR161" s="111"/>
      <c r="HUS161" s="111"/>
      <c r="HUT161" s="111"/>
      <c r="HUU161" s="111"/>
      <c r="HUV161" s="111"/>
      <c r="HUW161" s="111"/>
      <c r="HUX161" s="111"/>
      <c r="HUY161" s="111"/>
      <c r="HUZ161" s="111"/>
      <c r="HVA161" s="111"/>
      <c r="HVB161" s="111"/>
      <c r="HVC161" s="111"/>
      <c r="HVD161" s="111"/>
      <c r="HVE161" s="111"/>
      <c r="HVF161" s="111"/>
      <c r="HVG161" s="111"/>
      <c r="HVH161" s="111"/>
      <c r="HVI161" s="111"/>
      <c r="HVJ161" s="111"/>
      <c r="HVK161" s="111"/>
      <c r="HVL161" s="111"/>
      <c r="HVM161" s="111"/>
      <c r="HVN161" s="111"/>
      <c r="HVO161" s="111"/>
      <c r="HVP161" s="111"/>
      <c r="HVQ161" s="111"/>
      <c r="HVR161" s="111"/>
      <c r="HVS161" s="111"/>
      <c r="HVT161" s="111"/>
      <c r="HVU161" s="111"/>
      <c r="HVV161" s="111"/>
      <c r="HVW161" s="111"/>
      <c r="HVX161" s="111"/>
      <c r="HVY161" s="111"/>
      <c r="HVZ161" s="111"/>
      <c r="HWA161" s="111"/>
      <c r="HWB161" s="111"/>
      <c r="HWC161" s="111"/>
      <c r="HWD161" s="111"/>
      <c r="HWE161" s="111"/>
      <c r="HWF161" s="111"/>
      <c r="HWG161" s="111"/>
      <c r="HWH161" s="111"/>
      <c r="HWI161" s="111"/>
      <c r="HWJ161" s="111"/>
      <c r="HWK161" s="111"/>
      <c r="HWL161" s="111"/>
      <c r="HWM161" s="111"/>
      <c r="HWN161" s="111"/>
      <c r="HWO161" s="111"/>
      <c r="HWP161" s="111"/>
      <c r="HWQ161" s="111"/>
      <c r="HWR161" s="111"/>
      <c r="HWS161" s="111"/>
      <c r="HWT161" s="111"/>
      <c r="HWU161" s="111"/>
      <c r="HWV161" s="111"/>
      <c r="HWW161" s="111"/>
      <c r="HWX161" s="111"/>
      <c r="HWY161" s="111"/>
      <c r="HWZ161" s="111"/>
      <c r="HXA161" s="111"/>
      <c r="HXB161" s="111"/>
      <c r="HXC161" s="111"/>
      <c r="HXD161" s="111"/>
      <c r="HXE161" s="111"/>
      <c r="HXF161" s="111"/>
      <c r="HXG161" s="111"/>
      <c r="HXH161" s="111"/>
      <c r="HXI161" s="111"/>
      <c r="HXJ161" s="111"/>
      <c r="HXK161" s="111"/>
      <c r="HXL161" s="111"/>
      <c r="HXM161" s="111"/>
      <c r="HXN161" s="111"/>
      <c r="HXO161" s="111"/>
      <c r="HXP161" s="111"/>
      <c r="HXQ161" s="111"/>
      <c r="HXR161" s="111"/>
      <c r="HXS161" s="111"/>
      <c r="HXT161" s="111"/>
      <c r="HXU161" s="111"/>
      <c r="HXV161" s="111"/>
      <c r="HXW161" s="111"/>
      <c r="HXX161" s="111"/>
      <c r="HXY161" s="111"/>
      <c r="HXZ161" s="111"/>
      <c r="HYA161" s="111"/>
      <c r="HYB161" s="111"/>
      <c r="HYC161" s="111"/>
      <c r="HYD161" s="111"/>
      <c r="HYE161" s="111"/>
      <c r="HYF161" s="111"/>
      <c r="HYG161" s="111"/>
      <c r="HYH161" s="111"/>
      <c r="HYI161" s="111"/>
      <c r="HYJ161" s="111"/>
      <c r="HYK161" s="111"/>
      <c r="HYL161" s="111"/>
      <c r="HYM161" s="111"/>
      <c r="HYN161" s="111"/>
      <c r="HYO161" s="111"/>
      <c r="HYP161" s="111"/>
      <c r="HYQ161" s="111"/>
      <c r="HYR161" s="111"/>
      <c r="HYS161" s="111"/>
      <c r="HYT161" s="111"/>
      <c r="HYU161" s="111"/>
      <c r="HYV161" s="111"/>
      <c r="HYW161" s="111"/>
      <c r="HYX161" s="111"/>
      <c r="HYY161" s="111"/>
      <c r="HYZ161" s="111"/>
      <c r="HZA161" s="111"/>
      <c r="HZB161" s="111"/>
      <c r="HZC161" s="111"/>
      <c r="HZD161" s="111"/>
      <c r="HZE161" s="111"/>
      <c r="HZF161" s="111"/>
      <c r="HZG161" s="111"/>
      <c r="HZH161" s="111"/>
      <c r="HZI161" s="111"/>
      <c r="HZJ161" s="111"/>
      <c r="HZK161" s="111"/>
      <c r="HZL161" s="111"/>
      <c r="HZM161" s="111"/>
      <c r="HZN161" s="111"/>
      <c r="HZO161" s="111"/>
      <c r="HZP161" s="111"/>
      <c r="HZQ161" s="111"/>
      <c r="HZR161" s="111"/>
      <c r="HZS161" s="111"/>
      <c r="HZT161" s="111"/>
      <c r="HZU161" s="111"/>
      <c r="HZV161" s="111"/>
      <c r="HZW161" s="111"/>
      <c r="HZX161" s="111"/>
      <c r="HZY161" s="111"/>
      <c r="HZZ161" s="111"/>
      <c r="IAA161" s="111"/>
      <c r="IAB161" s="111"/>
      <c r="IAC161" s="111"/>
      <c r="IAD161" s="111"/>
      <c r="IAE161" s="111"/>
      <c r="IAF161" s="111"/>
      <c r="IAG161" s="111"/>
      <c r="IAH161" s="111"/>
      <c r="IAI161" s="111"/>
      <c r="IAJ161" s="111"/>
      <c r="IAK161" s="111"/>
      <c r="IAL161" s="111"/>
      <c r="IAM161" s="111"/>
      <c r="IAN161" s="111"/>
      <c r="IAO161" s="111"/>
      <c r="IAP161" s="111"/>
      <c r="IAQ161" s="111"/>
      <c r="IAR161" s="111"/>
      <c r="IAS161" s="111"/>
      <c r="IAT161" s="111"/>
      <c r="IAU161" s="111"/>
      <c r="IAV161" s="111"/>
      <c r="IAW161" s="111"/>
      <c r="IAX161" s="111"/>
      <c r="IAY161" s="111"/>
      <c r="IAZ161" s="111"/>
      <c r="IBA161" s="111"/>
      <c r="IBB161" s="111"/>
      <c r="IBC161" s="111"/>
      <c r="IBD161" s="111"/>
      <c r="IBE161" s="111"/>
      <c r="IBF161" s="111"/>
      <c r="IBG161" s="111"/>
      <c r="IBH161" s="111"/>
      <c r="IBI161" s="111"/>
      <c r="IBJ161" s="111"/>
      <c r="IBK161" s="111"/>
      <c r="IBL161" s="111"/>
      <c r="IBM161" s="111"/>
      <c r="IBN161" s="111"/>
      <c r="IBO161" s="111"/>
      <c r="IBP161" s="111"/>
      <c r="IBQ161" s="111"/>
      <c r="IBR161" s="111"/>
      <c r="IBS161" s="111"/>
      <c r="IBT161" s="111"/>
      <c r="IBU161" s="111"/>
      <c r="IBV161" s="111"/>
      <c r="IBW161" s="111"/>
      <c r="IBX161" s="111"/>
      <c r="IBY161" s="111"/>
      <c r="IBZ161" s="111"/>
      <c r="ICA161" s="111"/>
      <c r="ICB161" s="111"/>
      <c r="ICC161" s="111"/>
      <c r="ICD161" s="111"/>
      <c r="ICE161" s="111"/>
      <c r="ICF161" s="111"/>
      <c r="ICG161" s="111"/>
      <c r="ICH161" s="111"/>
      <c r="ICI161" s="111"/>
      <c r="ICJ161" s="111"/>
      <c r="ICK161" s="111"/>
      <c r="ICL161" s="111"/>
      <c r="ICM161" s="111"/>
      <c r="ICN161" s="111"/>
      <c r="ICO161" s="111"/>
      <c r="ICP161" s="111"/>
      <c r="ICQ161" s="111"/>
      <c r="ICR161" s="111"/>
      <c r="ICS161" s="111"/>
      <c r="ICT161" s="111"/>
      <c r="ICU161" s="111"/>
      <c r="ICV161" s="111"/>
      <c r="ICW161" s="111"/>
      <c r="ICX161" s="111"/>
      <c r="ICY161" s="111"/>
      <c r="ICZ161" s="111"/>
      <c r="IDA161" s="111"/>
      <c r="IDB161" s="111"/>
      <c r="IDC161" s="111"/>
      <c r="IDD161" s="111"/>
      <c r="IDE161" s="111"/>
      <c r="IDF161" s="111"/>
      <c r="IDG161" s="111"/>
      <c r="IDH161" s="111"/>
      <c r="IDI161" s="111"/>
      <c r="IDJ161" s="111"/>
      <c r="IDK161" s="111"/>
      <c r="IDL161" s="111"/>
      <c r="IDM161" s="111"/>
      <c r="IDN161" s="111"/>
      <c r="IDO161" s="111"/>
      <c r="IDP161" s="111"/>
      <c r="IDQ161" s="111"/>
      <c r="IDR161" s="111"/>
      <c r="IDS161" s="111"/>
      <c r="IDT161" s="111"/>
      <c r="IDU161" s="111"/>
      <c r="IDV161" s="111"/>
      <c r="IDW161" s="111"/>
      <c r="IDX161" s="111"/>
      <c r="IDY161" s="111"/>
      <c r="IDZ161" s="111"/>
      <c r="IEA161" s="111"/>
      <c r="IEB161" s="111"/>
      <c r="IEC161" s="111"/>
      <c r="IED161" s="111"/>
      <c r="IEE161" s="111"/>
      <c r="IEF161" s="111"/>
      <c r="IEG161" s="111"/>
      <c r="IEH161" s="111"/>
      <c r="IEI161" s="111"/>
      <c r="IEJ161" s="111"/>
      <c r="IEK161" s="111"/>
      <c r="IEL161" s="111"/>
      <c r="IEM161" s="111"/>
      <c r="IEN161" s="111"/>
      <c r="IEO161" s="111"/>
      <c r="IEP161" s="111"/>
      <c r="IEQ161" s="111"/>
      <c r="IER161" s="111"/>
      <c r="IES161" s="111"/>
      <c r="IET161" s="111"/>
      <c r="IEU161" s="111"/>
      <c r="IEV161" s="111"/>
      <c r="IEW161" s="111"/>
      <c r="IEX161" s="111"/>
      <c r="IEY161" s="111"/>
      <c r="IEZ161" s="111"/>
      <c r="IFA161" s="111"/>
      <c r="IFB161" s="111"/>
      <c r="IFC161" s="111"/>
      <c r="IFD161" s="111"/>
      <c r="IFE161" s="111"/>
      <c r="IFF161" s="111"/>
      <c r="IFG161" s="111"/>
      <c r="IFH161" s="111"/>
      <c r="IFI161" s="111"/>
      <c r="IFJ161" s="111"/>
      <c r="IFK161" s="111"/>
      <c r="IFL161" s="111"/>
      <c r="IFM161" s="111"/>
      <c r="IFN161" s="111"/>
      <c r="IFO161" s="111"/>
      <c r="IFP161" s="111"/>
      <c r="IFQ161" s="111"/>
      <c r="IFR161" s="111"/>
      <c r="IFS161" s="111"/>
      <c r="IFT161" s="111"/>
      <c r="IFU161" s="111"/>
      <c r="IFV161" s="111"/>
      <c r="IFW161" s="111"/>
      <c r="IFX161" s="111"/>
      <c r="IFY161" s="111"/>
      <c r="IFZ161" s="111"/>
      <c r="IGA161" s="111"/>
      <c r="IGB161" s="111"/>
      <c r="IGC161" s="111"/>
      <c r="IGD161" s="111"/>
      <c r="IGE161" s="111"/>
      <c r="IGF161" s="111"/>
      <c r="IGG161" s="111"/>
      <c r="IGH161" s="111"/>
      <c r="IGI161" s="111"/>
      <c r="IGJ161" s="111"/>
      <c r="IGK161" s="111"/>
      <c r="IGL161" s="111"/>
      <c r="IGM161" s="111"/>
      <c r="IGN161" s="111"/>
      <c r="IGO161" s="111"/>
      <c r="IGP161" s="111"/>
      <c r="IGQ161" s="111"/>
      <c r="IGR161" s="111"/>
      <c r="IGS161" s="111"/>
      <c r="IGT161" s="111"/>
      <c r="IGU161" s="111"/>
      <c r="IGV161" s="111"/>
      <c r="IGW161" s="111"/>
      <c r="IGX161" s="111"/>
      <c r="IGY161" s="111"/>
      <c r="IGZ161" s="111"/>
      <c r="IHA161" s="111"/>
      <c r="IHB161" s="111"/>
      <c r="IHC161" s="111"/>
      <c r="IHD161" s="111"/>
      <c r="IHE161" s="111"/>
      <c r="IHF161" s="111"/>
      <c r="IHG161" s="111"/>
      <c r="IHH161" s="111"/>
      <c r="IHI161" s="111"/>
      <c r="IHJ161" s="111"/>
      <c r="IHK161" s="111"/>
      <c r="IHL161" s="111"/>
      <c r="IHM161" s="111"/>
      <c r="IHN161" s="111"/>
      <c r="IHO161" s="111"/>
      <c r="IHP161" s="111"/>
      <c r="IHQ161" s="111"/>
      <c r="IHR161" s="111"/>
      <c r="IHS161" s="111"/>
      <c r="IHT161" s="111"/>
      <c r="IHU161" s="111"/>
      <c r="IHV161" s="111"/>
      <c r="IHW161" s="111"/>
      <c r="IHX161" s="111"/>
      <c r="IHY161" s="111"/>
      <c r="IHZ161" s="111"/>
      <c r="IIA161" s="111"/>
      <c r="IIB161" s="111"/>
      <c r="IIC161" s="111"/>
      <c r="IID161" s="111"/>
      <c r="IIE161" s="111"/>
      <c r="IIF161" s="111"/>
      <c r="IIG161" s="111"/>
      <c r="IIH161" s="111"/>
      <c r="III161" s="111"/>
      <c r="IIJ161" s="111"/>
      <c r="IIK161" s="111"/>
      <c r="IIL161" s="111"/>
      <c r="IIM161" s="111"/>
      <c r="IIN161" s="111"/>
      <c r="IIO161" s="111"/>
      <c r="IIP161" s="111"/>
      <c r="IIQ161" s="111"/>
      <c r="IIR161" s="111"/>
      <c r="IIS161" s="111"/>
      <c r="IIT161" s="111"/>
      <c r="IIU161" s="111"/>
      <c r="IIV161" s="111"/>
      <c r="IIW161" s="111"/>
      <c r="IIX161" s="111"/>
      <c r="IIY161" s="111"/>
      <c r="IIZ161" s="111"/>
      <c r="IJA161" s="111"/>
      <c r="IJB161" s="111"/>
      <c r="IJC161" s="111"/>
      <c r="IJD161" s="111"/>
      <c r="IJE161" s="111"/>
      <c r="IJF161" s="111"/>
      <c r="IJG161" s="111"/>
      <c r="IJH161" s="111"/>
      <c r="IJI161" s="111"/>
      <c r="IJJ161" s="111"/>
      <c r="IJK161" s="111"/>
      <c r="IJL161" s="111"/>
      <c r="IJM161" s="111"/>
      <c r="IJN161" s="111"/>
      <c r="IJO161" s="111"/>
      <c r="IJP161" s="111"/>
      <c r="IJQ161" s="111"/>
      <c r="IJR161" s="111"/>
      <c r="IJS161" s="111"/>
      <c r="IJT161" s="111"/>
      <c r="IJU161" s="111"/>
      <c r="IJV161" s="111"/>
      <c r="IJW161" s="111"/>
      <c r="IJX161" s="111"/>
      <c r="IJY161" s="111"/>
      <c r="IJZ161" s="111"/>
      <c r="IKA161" s="111"/>
      <c r="IKB161" s="111"/>
      <c r="IKC161" s="111"/>
      <c r="IKD161" s="111"/>
      <c r="IKE161" s="111"/>
      <c r="IKF161" s="111"/>
      <c r="IKG161" s="111"/>
      <c r="IKH161" s="111"/>
      <c r="IKI161" s="111"/>
      <c r="IKJ161" s="111"/>
      <c r="IKK161" s="111"/>
      <c r="IKL161" s="111"/>
      <c r="IKM161" s="111"/>
      <c r="IKN161" s="111"/>
      <c r="IKO161" s="111"/>
      <c r="IKP161" s="111"/>
      <c r="IKQ161" s="111"/>
      <c r="IKR161" s="111"/>
      <c r="IKS161" s="111"/>
      <c r="IKT161" s="111"/>
      <c r="IKU161" s="111"/>
      <c r="IKV161" s="111"/>
      <c r="IKW161" s="111"/>
      <c r="IKX161" s="111"/>
      <c r="IKY161" s="111"/>
      <c r="IKZ161" s="111"/>
      <c r="ILA161" s="111"/>
      <c r="ILB161" s="111"/>
      <c r="ILC161" s="111"/>
      <c r="ILD161" s="111"/>
      <c r="ILE161" s="111"/>
      <c r="ILF161" s="111"/>
      <c r="ILG161" s="111"/>
      <c r="ILH161" s="111"/>
      <c r="ILI161" s="111"/>
      <c r="ILJ161" s="111"/>
      <c r="ILK161" s="111"/>
      <c r="ILL161" s="111"/>
      <c r="ILM161" s="111"/>
      <c r="ILN161" s="111"/>
      <c r="ILO161" s="111"/>
      <c r="ILP161" s="111"/>
      <c r="ILQ161" s="111"/>
      <c r="ILR161" s="111"/>
      <c r="ILS161" s="111"/>
      <c r="ILT161" s="111"/>
      <c r="ILU161" s="111"/>
      <c r="ILV161" s="111"/>
      <c r="ILW161" s="111"/>
      <c r="ILX161" s="111"/>
      <c r="ILY161" s="111"/>
      <c r="ILZ161" s="111"/>
      <c r="IMA161" s="111"/>
      <c r="IMB161" s="111"/>
      <c r="IMC161" s="111"/>
      <c r="IMD161" s="111"/>
      <c r="IME161" s="111"/>
      <c r="IMF161" s="111"/>
      <c r="IMG161" s="111"/>
      <c r="IMH161" s="111"/>
      <c r="IMI161" s="111"/>
      <c r="IMJ161" s="111"/>
      <c r="IMK161" s="111"/>
      <c r="IML161" s="111"/>
      <c r="IMM161" s="111"/>
      <c r="IMN161" s="111"/>
      <c r="IMO161" s="111"/>
      <c r="IMP161" s="111"/>
      <c r="IMQ161" s="111"/>
      <c r="IMR161" s="111"/>
      <c r="IMS161" s="111"/>
      <c r="IMT161" s="111"/>
      <c r="IMU161" s="111"/>
      <c r="IMV161" s="111"/>
      <c r="IMW161" s="111"/>
      <c r="IMX161" s="111"/>
      <c r="IMY161" s="111"/>
      <c r="IMZ161" s="111"/>
      <c r="INA161" s="111"/>
      <c r="INB161" s="111"/>
      <c r="INC161" s="111"/>
      <c r="IND161" s="111"/>
      <c r="INE161" s="111"/>
      <c r="INF161" s="111"/>
      <c r="ING161" s="111"/>
      <c r="INH161" s="111"/>
      <c r="INI161" s="111"/>
      <c r="INJ161" s="111"/>
      <c r="INK161" s="111"/>
      <c r="INL161" s="111"/>
      <c r="INM161" s="111"/>
      <c r="INN161" s="111"/>
      <c r="INO161" s="111"/>
      <c r="INP161" s="111"/>
      <c r="INQ161" s="111"/>
      <c r="INR161" s="111"/>
      <c r="INS161" s="111"/>
      <c r="INT161" s="111"/>
      <c r="INU161" s="111"/>
      <c r="INV161" s="111"/>
      <c r="INW161" s="111"/>
      <c r="INX161" s="111"/>
      <c r="INY161" s="111"/>
      <c r="INZ161" s="111"/>
      <c r="IOA161" s="111"/>
      <c r="IOB161" s="111"/>
      <c r="IOC161" s="111"/>
      <c r="IOD161" s="111"/>
      <c r="IOE161" s="111"/>
      <c r="IOF161" s="111"/>
      <c r="IOG161" s="111"/>
      <c r="IOH161" s="111"/>
      <c r="IOI161" s="111"/>
      <c r="IOJ161" s="111"/>
      <c r="IOK161" s="111"/>
      <c r="IOL161" s="111"/>
      <c r="IOM161" s="111"/>
      <c r="ION161" s="111"/>
      <c r="IOO161" s="111"/>
      <c r="IOP161" s="111"/>
      <c r="IOQ161" s="111"/>
      <c r="IOR161" s="111"/>
      <c r="IOS161" s="111"/>
      <c r="IOT161" s="111"/>
      <c r="IOU161" s="111"/>
      <c r="IOV161" s="111"/>
      <c r="IOW161" s="111"/>
      <c r="IOX161" s="111"/>
      <c r="IOY161" s="111"/>
      <c r="IOZ161" s="111"/>
      <c r="IPA161" s="111"/>
      <c r="IPB161" s="111"/>
      <c r="IPC161" s="111"/>
      <c r="IPD161" s="111"/>
      <c r="IPE161" s="111"/>
      <c r="IPF161" s="111"/>
      <c r="IPG161" s="111"/>
      <c r="IPH161" s="111"/>
      <c r="IPI161" s="111"/>
      <c r="IPJ161" s="111"/>
      <c r="IPK161" s="111"/>
      <c r="IPL161" s="111"/>
      <c r="IPM161" s="111"/>
      <c r="IPN161" s="111"/>
      <c r="IPO161" s="111"/>
      <c r="IPP161" s="111"/>
      <c r="IPQ161" s="111"/>
      <c r="IPR161" s="111"/>
      <c r="IPS161" s="111"/>
      <c r="IPT161" s="111"/>
      <c r="IPU161" s="111"/>
      <c r="IPV161" s="111"/>
      <c r="IPW161" s="111"/>
      <c r="IPX161" s="111"/>
      <c r="IPY161" s="111"/>
      <c r="IPZ161" s="111"/>
      <c r="IQA161" s="111"/>
      <c r="IQB161" s="111"/>
      <c r="IQC161" s="111"/>
      <c r="IQD161" s="111"/>
      <c r="IQE161" s="111"/>
      <c r="IQF161" s="111"/>
      <c r="IQG161" s="111"/>
      <c r="IQH161" s="111"/>
      <c r="IQI161" s="111"/>
      <c r="IQJ161" s="111"/>
      <c r="IQK161" s="111"/>
      <c r="IQL161" s="111"/>
      <c r="IQM161" s="111"/>
      <c r="IQN161" s="111"/>
      <c r="IQO161" s="111"/>
      <c r="IQP161" s="111"/>
      <c r="IQQ161" s="111"/>
      <c r="IQR161" s="111"/>
      <c r="IQS161" s="111"/>
      <c r="IQT161" s="111"/>
      <c r="IQU161" s="111"/>
      <c r="IQV161" s="111"/>
      <c r="IQW161" s="111"/>
      <c r="IQX161" s="111"/>
      <c r="IQY161" s="111"/>
      <c r="IQZ161" s="111"/>
      <c r="IRA161" s="111"/>
      <c r="IRB161" s="111"/>
      <c r="IRC161" s="111"/>
      <c r="IRD161" s="111"/>
      <c r="IRE161" s="111"/>
      <c r="IRF161" s="111"/>
      <c r="IRG161" s="111"/>
      <c r="IRH161" s="111"/>
      <c r="IRI161" s="111"/>
      <c r="IRJ161" s="111"/>
      <c r="IRK161" s="111"/>
      <c r="IRL161" s="111"/>
      <c r="IRM161" s="111"/>
      <c r="IRN161" s="111"/>
      <c r="IRO161" s="111"/>
      <c r="IRP161" s="111"/>
      <c r="IRQ161" s="111"/>
      <c r="IRR161" s="111"/>
      <c r="IRS161" s="111"/>
      <c r="IRT161" s="111"/>
      <c r="IRU161" s="111"/>
      <c r="IRV161" s="111"/>
      <c r="IRW161" s="111"/>
      <c r="IRX161" s="111"/>
      <c r="IRY161" s="111"/>
      <c r="IRZ161" s="111"/>
      <c r="ISA161" s="111"/>
      <c r="ISB161" s="111"/>
      <c r="ISC161" s="111"/>
      <c r="ISD161" s="111"/>
      <c r="ISE161" s="111"/>
      <c r="ISF161" s="111"/>
      <c r="ISG161" s="111"/>
      <c r="ISH161" s="111"/>
      <c r="ISI161" s="111"/>
      <c r="ISJ161" s="111"/>
      <c r="ISK161" s="111"/>
      <c r="ISL161" s="111"/>
      <c r="ISM161" s="111"/>
      <c r="ISN161" s="111"/>
      <c r="ISO161" s="111"/>
      <c r="ISP161" s="111"/>
      <c r="ISQ161" s="111"/>
      <c r="ISR161" s="111"/>
      <c r="ISS161" s="111"/>
      <c r="IST161" s="111"/>
      <c r="ISU161" s="111"/>
      <c r="ISV161" s="111"/>
      <c r="ISW161" s="111"/>
      <c r="ISX161" s="111"/>
      <c r="ISY161" s="111"/>
      <c r="ISZ161" s="111"/>
      <c r="ITA161" s="111"/>
      <c r="ITB161" s="111"/>
      <c r="ITC161" s="111"/>
      <c r="ITD161" s="111"/>
      <c r="ITE161" s="111"/>
      <c r="ITF161" s="111"/>
      <c r="ITG161" s="111"/>
      <c r="ITH161" s="111"/>
      <c r="ITI161" s="111"/>
      <c r="ITJ161" s="111"/>
      <c r="ITK161" s="111"/>
      <c r="ITL161" s="111"/>
      <c r="ITM161" s="111"/>
      <c r="ITN161" s="111"/>
      <c r="ITO161" s="111"/>
      <c r="ITP161" s="111"/>
      <c r="ITQ161" s="111"/>
      <c r="ITR161" s="111"/>
      <c r="ITS161" s="111"/>
      <c r="ITT161" s="111"/>
      <c r="ITU161" s="111"/>
      <c r="ITV161" s="111"/>
      <c r="ITW161" s="111"/>
      <c r="ITX161" s="111"/>
      <c r="ITY161" s="111"/>
      <c r="ITZ161" s="111"/>
      <c r="IUA161" s="111"/>
      <c r="IUB161" s="111"/>
      <c r="IUC161" s="111"/>
      <c r="IUD161" s="111"/>
      <c r="IUE161" s="111"/>
      <c r="IUF161" s="111"/>
      <c r="IUG161" s="111"/>
      <c r="IUH161" s="111"/>
      <c r="IUI161" s="111"/>
      <c r="IUJ161" s="111"/>
      <c r="IUK161" s="111"/>
      <c r="IUL161" s="111"/>
      <c r="IUM161" s="111"/>
      <c r="IUN161" s="111"/>
      <c r="IUO161" s="111"/>
      <c r="IUP161" s="111"/>
      <c r="IUQ161" s="111"/>
      <c r="IUR161" s="111"/>
      <c r="IUS161" s="111"/>
      <c r="IUT161" s="111"/>
      <c r="IUU161" s="111"/>
      <c r="IUV161" s="111"/>
      <c r="IUW161" s="111"/>
      <c r="IUX161" s="111"/>
      <c r="IUY161" s="111"/>
      <c r="IUZ161" s="111"/>
      <c r="IVA161" s="111"/>
      <c r="IVB161" s="111"/>
      <c r="IVC161" s="111"/>
      <c r="IVD161" s="111"/>
      <c r="IVE161" s="111"/>
      <c r="IVF161" s="111"/>
      <c r="IVG161" s="111"/>
      <c r="IVH161" s="111"/>
      <c r="IVI161" s="111"/>
      <c r="IVJ161" s="111"/>
      <c r="IVK161" s="111"/>
      <c r="IVL161" s="111"/>
      <c r="IVM161" s="111"/>
      <c r="IVN161" s="111"/>
      <c r="IVO161" s="111"/>
      <c r="IVP161" s="111"/>
      <c r="IVQ161" s="111"/>
      <c r="IVR161" s="111"/>
      <c r="IVS161" s="111"/>
      <c r="IVT161" s="111"/>
      <c r="IVU161" s="111"/>
      <c r="IVV161" s="111"/>
      <c r="IVW161" s="111"/>
      <c r="IVX161" s="111"/>
      <c r="IVY161" s="111"/>
      <c r="IVZ161" s="111"/>
      <c r="IWA161" s="111"/>
      <c r="IWB161" s="111"/>
      <c r="IWC161" s="111"/>
      <c r="IWD161" s="111"/>
      <c r="IWE161" s="111"/>
      <c r="IWF161" s="111"/>
      <c r="IWG161" s="111"/>
      <c r="IWH161" s="111"/>
      <c r="IWI161" s="111"/>
      <c r="IWJ161" s="111"/>
      <c r="IWK161" s="111"/>
      <c r="IWL161" s="111"/>
      <c r="IWM161" s="111"/>
      <c r="IWN161" s="111"/>
      <c r="IWO161" s="111"/>
      <c r="IWP161" s="111"/>
      <c r="IWQ161" s="111"/>
      <c r="IWR161" s="111"/>
      <c r="IWS161" s="111"/>
      <c r="IWT161" s="111"/>
      <c r="IWU161" s="111"/>
      <c r="IWV161" s="111"/>
      <c r="IWW161" s="111"/>
      <c r="IWX161" s="111"/>
      <c r="IWY161" s="111"/>
      <c r="IWZ161" s="111"/>
      <c r="IXA161" s="111"/>
      <c r="IXB161" s="111"/>
      <c r="IXC161" s="111"/>
      <c r="IXD161" s="111"/>
      <c r="IXE161" s="111"/>
      <c r="IXF161" s="111"/>
      <c r="IXG161" s="111"/>
      <c r="IXH161" s="111"/>
      <c r="IXI161" s="111"/>
      <c r="IXJ161" s="111"/>
      <c r="IXK161" s="111"/>
      <c r="IXL161" s="111"/>
      <c r="IXM161" s="111"/>
      <c r="IXN161" s="111"/>
      <c r="IXO161" s="111"/>
      <c r="IXP161" s="111"/>
      <c r="IXQ161" s="111"/>
      <c r="IXR161" s="111"/>
      <c r="IXS161" s="111"/>
      <c r="IXT161" s="111"/>
      <c r="IXU161" s="111"/>
      <c r="IXV161" s="111"/>
      <c r="IXW161" s="111"/>
      <c r="IXX161" s="111"/>
      <c r="IXY161" s="111"/>
      <c r="IXZ161" s="111"/>
      <c r="IYA161" s="111"/>
      <c r="IYB161" s="111"/>
      <c r="IYC161" s="111"/>
      <c r="IYD161" s="111"/>
      <c r="IYE161" s="111"/>
      <c r="IYF161" s="111"/>
      <c r="IYG161" s="111"/>
      <c r="IYH161" s="111"/>
      <c r="IYI161" s="111"/>
      <c r="IYJ161" s="111"/>
      <c r="IYK161" s="111"/>
      <c r="IYL161" s="111"/>
      <c r="IYM161" s="111"/>
      <c r="IYN161" s="111"/>
      <c r="IYO161" s="111"/>
      <c r="IYP161" s="111"/>
      <c r="IYQ161" s="111"/>
      <c r="IYR161" s="111"/>
      <c r="IYS161" s="111"/>
      <c r="IYT161" s="111"/>
      <c r="IYU161" s="111"/>
      <c r="IYV161" s="111"/>
      <c r="IYW161" s="111"/>
      <c r="IYX161" s="111"/>
      <c r="IYY161" s="111"/>
      <c r="IYZ161" s="111"/>
      <c r="IZA161" s="111"/>
      <c r="IZB161" s="111"/>
      <c r="IZC161" s="111"/>
      <c r="IZD161" s="111"/>
      <c r="IZE161" s="111"/>
      <c r="IZF161" s="111"/>
      <c r="IZG161" s="111"/>
      <c r="IZH161" s="111"/>
      <c r="IZI161" s="111"/>
      <c r="IZJ161" s="111"/>
      <c r="IZK161" s="111"/>
      <c r="IZL161" s="111"/>
      <c r="IZM161" s="111"/>
      <c r="IZN161" s="111"/>
      <c r="IZO161" s="111"/>
      <c r="IZP161" s="111"/>
      <c r="IZQ161" s="111"/>
      <c r="IZR161" s="111"/>
      <c r="IZS161" s="111"/>
      <c r="IZT161" s="111"/>
      <c r="IZU161" s="111"/>
      <c r="IZV161" s="111"/>
      <c r="IZW161" s="111"/>
      <c r="IZX161" s="111"/>
      <c r="IZY161" s="111"/>
      <c r="IZZ161" s="111"/>
      <c r="JAA161" s="111"/>
      <c r="JAB161" s="111"/>
      <c r="JAC161" s="111"/>
      <c r="JAD161" s="111"/>
      <c r="JAE161" s="111"/>
      <c r="JAF161" s="111"/>
      <c r="JAG161" s="111"/>
      <c r="JAH161" s="111"/>
      <c r="JAI161" s="111"/>
      <c r="JAJ161" s="111"/>
      <c r="JAK161" s="111"/>
      <c r="JAL161" s="111"/>
      <c r="JAM161" s="111"/>
      <c r="JAN161" s="111"/>
      <c r="JAO161" s="111"/>
      <c r="JAP161" s="111"/>
      <c r="JAQ161" s="111"/>
      <c r="JAR161" s="111"/>
      <c r="JAS161" s="111"/>
      <c r="JAT161" s="111"/>
      <c r="JAU161" s="111"/>
      <c r="JAV161" s="111"/>
      <c r="JAW161" s="111"/>
      <c r="JAX161" s="111"/>
      <c r="JAY161" s="111"/>
      <c r="JAZ161" s="111"/>
      <c r="JBA161" s="111"/>
      <c r="JBB161" s="111"/>
      <c r="JBC161" s="111"/>
      <c r="JBD161" s="111"/>
      <c r="JBE161" s="111"/>
      <c r="JBF161" s="111"/>
      <c r="JBG161" s="111"/>
      <c r="JBH161" s="111"/>
      <c r="JBI161" s="111"/>
      <c r="JBJ161" s="111"/>
      <c r="JBK161" s="111"/>
      <c r="JBL161" s="111"/>
      <c r="JBM161" s="111"/>
      <c r="JBN161" s="111"/>
      <c r="JBO161" s="111"/>
      <c r="JBP161" s="111"/>
      <c r="JBQ161" s="111"/>
      <c r="JBR161" s="111"/>
      <c r="JBS161" s="111"/>
      <c r="JBT161" s="111"/>
      <c r="JBU161" s="111"/>
      <c r="JBV161" s="111"/>
      <c r="JBW161" s="111"/>
      <c r="JBX161" s="111"/>
      <c r="JBY161" s="111"/>
      <c r="JBZ161" s="111"/>
      <c r="JCA161" s="111"/>
      <c r="JCB161" s="111"/>
      <c r="JCC161" s="111"/>
      <c r="JCD161" s="111"/>
      <c r="JCE161" s="111"/>
      <c r="JCF161" s="111"/>
      <c r="JCG161" s="111"/>
      <c r="JCH161" s="111"/>
      <c r="JCI161" s="111"/>
      <c r="JCJ161" s="111"/>
      <c r="JCK161" s="111"/>
      <c r="JCL161" s="111"/>
      <c r="JCM161" s="111"/>
      <c r="JCN161" s="111"/>
      <c r="JCO161" s="111"/>
      <c r="JCP161" s="111"/>
      <c r="JCQ161" s="111"/>
      <c r="JCR161" s="111"/>
      <c r="JCS161" s="111"/>
      <c r="JCT161" s="111"/>
      <c r="JCU161" s="111"/>
      <c r="JCV161" s="111"/>
      <c r="JCW161" s="111"/>
      <c r="JCX161" s="111"/>
      <c r="JCY161" s="111"/>
      <c r="JCZ161" s="111"/>
      <c r="JDA161" s="111"/>
      <c r="JDB161" s="111"/>
      <c r="JDC161" s="111"/>
      <c r="JDD161" s="111"/>
      <c r="JDE161" s="111"/>
      <c r="JDF161" s="111"/>
      <c r="JDG161" s="111"/>
      <c r="JDH161" s="111"/>
      <c r="JDI161" s="111"/>
      <c r="JDJ161" s="111"/>
      <c r="JDK161" s="111"/>
      <c r="JDL161" s="111"/>
      <c r="JDM161" s="111"/>
      <c r="JDN161" s="111"/>
      <c r="JDO161" s="111"/>
      <c r="JDP161" s="111"/>
      <c r="JDQ161" s="111"/>
      <c r="JDR161" s="111"/>
      <c r="JDS161" s="111"/>
      <c r="JDT161" s="111"/>
      <c r="JDU161" s="111"/>
      <c r="JDV161" s="111"/>
      <c r="JDW161" s="111"/>
      <c r="JDX161" s="111"/>
      <c r="JDY161" s="111"/>
      <c r="JDZ161" s="111"/>
      <c r="JEA161" s="111"/>
      <c r="JEB161" s="111"/>
      <c r="JEC161" s="111"/>
      <c r="JED161" s="111"/>
      <c r="JEE161" s="111"/>
      <c r="JEF161" s="111"/>
      <c r="JEG161" s="111"/>
      <c r="JEH161" s="111"/>
      <c r="JEI161" s="111"/>
      <c r="JEJ161" s="111"/>
      <c r="JEK161" s="111"/>
      <c r="JEL161" s="111"/>
      <c r="JEM161" s="111"/>
      <c r="JEN161" s="111"/>
      <c r="JEO161" s="111"/>
      <c r="JEP161" s="111"/>
      <c r="JEQ161" s="111"/>
      <c r="JER161" s="111"/>
      <c r="JES161" s="111"/>
      <c r="JET161" s="111"/>
      <c r="JEU161" s="111"/>
      <c r="JEV161" s="111"/>
      <c r="JEW161" s="111"/>
      <c r="JEX161" s="111"/>
      <c r="JEY161" s="111"/>
      <c r="JEZ161" s="111"/>
      <c r="JFA161" s="111"/>
      <c r="JFB161" s="111"/>
      <c r="JFC161" s="111"/>
      <c r="JFD161" s="111"/>
      <c r="JFE161" s="111"/>
      <c r="JFF161" s="111"/>
      <c r="JFG161" s="111"/>
      <c r="JFH161" s="111"/>
      <c r="JFI161" s="111"/>
      <c r="JFJ161" s="111"/>
      <c r="JFK161" s="111"/>
      <c r="JFL161" s="111"/>
      <c r="JFM161" s="111"/>
      <c r="JFN161" s="111"/>
      <c r="JFO161" s="111"/>
      <c r="JFP161" s="111"/>
      <c r="JFQ161" s="111"/>
      <c r="JFR161" s="111"/>
      <c r="JFS161" s="111"/>
      <c r="JFT161" s="111"/>
      <c r="JFU161" s="111"/>
      <c r="JFV161" s="111"/>
      <c r="JFW161" s="111"/>
      <c r="JFX161" s="111"/>
      <c r="JFY161" s="111"/>
      <c r="JFZ161" s="111"/>
      <c r="JGA161" s="111"/>
      <c r="JGB161" s="111"/>
      <c r="JGC161" s="111"/>
      <c r="JGD161" s="111"/>
      <c r="JGE161" s="111"/>
      <c r="JGF161" s="111"/>
      <c r="JGG161" s="111"/>
      <c r="JGH161" s="111"/>
      <c r="JGI161" s="111"/>
      <c r="JGJ161" s="111"/>
      <c r="JGK161" s="111"/>
      <c r="JGL161" s="111"/>
      <c r="JGM161" s="111"/>
      <c r="JGN161" s="111"/>
      <c r="JGO161" s="111"/>
      <c r="JGP161" s="111"/>
      <c r="JGQ161" s="111"/>
      <c r="JGR161" s="111"/>
      <c r="JGS161" s="111"/>
      <c r="JGT161" s="111"/>
      <c r="JGU161" s="111"/>
      <c r="JGV161" s="111"/>
      <c r="JGW161" s="111"/>
      <c r="JGX161" s="111"/>
      <c r="JGY161" s="111"/>
      <c r="JGZ161" s="111"/>
      <c r="JHA161" s="111"/>
      <c r="JHB161" s="111"/>
      <c r="JHC161" s="111"/>
      <c r="JHD161" s="111"/>
      <c r="JHE161" s="111"/>
      <c r="JHF161" s="111"/>
      <c r="JHG161" s="111"/>
      <c r="JHH161" s="111"/>
      <c r="JHI161" s="111"/>
      <c r="JHJ161" s="111"/>
      <c r="JHK161" s="111"/>
      <c r="JHL161" s="111"/>
      <c r="JHM161" s="111"/>
      <c r="JHN161" s="111"/>
      <c r="JHO161" s="111"/>
      <c r="JHP161" s="111"/>
      <c r="JHQ161" s="111"/>
      <c r="JHR161" s="111"/>
      <c r="JHS161" s="111"/>
      <c r="JHT161" s="111"/>
      <c r="JHU161" s="111"/>
      <c r="JHV161" s="111"/>
      <c r="JHW161" s="111"/>
      <c r="JHX161" s="111"/>
      <c r="JHY161" s="111"/>
      <c r="JHZ161" s="111"/>
      <c r="JIA161" s="111"/>
      <c r="JIB161" s="111"/>
      <c r="JIC161" s="111"/>
      <c r="JID161" s="111"/>
      <c r="JIE161" s="111"/>
      <c r="JIF161" s="111"/>
      <c r="JIG161" s="111"/>
      <c r="JIH161" s="111"/>
      <c r="JII161" s="111"/>
      <c r="JIJ161" s="111"/>
      <c r="JIK161" s="111"/>
      <c r="JIL161" s="111"/>
      <c r="JIM161" s="111"/>
      <c r="JIN161" s="111"/>
      <c r="JIO161" s="111"/>
      <c r="JIP161" s="111"/>
      <c r="JIQ161" s="111"/>
      <c r="JIR161" s="111"/>
      <c r="JIS161" s="111"/>
      <c r="JIT161" s="111"/>
      <c r="JIU161" s="111"/>
      <c r="JIV161" s="111"/>
      <c r="JIW161" s="111"/>
      <c r="JIX161" s="111"/>
      <c r="JIY161" s="111"/>
      <c r="JIZ161" s="111"/>
      <c r="JJA161" s="111"/>
      <c r="JJB161" s="111"/>
      <c r="JJC161" s="111"/>
      <c r="JJD161" s="111"/>
      <c r="JJE161" s="111"/>
      <c r="JJF161" s="111"/>
      <c r="JJG161" s="111"/>
      <c r="JJH161" s="111"/>
      <c r="JJI161" s="111"/>
      <c r="JJJ161" s="111"/>
      <c r="JJK161" s="111"/>
      <c r="JJL161" s="111"/>
      <c r="JJM161" s="111"/>
      <c r="JJN161" s="111"/>
      <c r="JJO161" s="111"/>
      <c r="JJP161" s="111"/>
      <c r="JJQ161" s="111"/>
      <c r="JJR161" s="111"/>
      <c r="JJS161" s="111"/>
      <c r="JJT161" s="111"/>
      <c r="JJU161" s="111"/>
      <c r="JJV161" s="111"/>
      <c r="JJW161" s="111"/>
      <c r="JJX161" s="111"/>
      <c r="JJY161" s="111"/>
      <c r="JJZ161" s="111"/>
      <c r="JKA161" s="111"/>
      <c r="JKB161" s="111"/>
      <c r="JKC161" s="111"/>
      <c r="JKD161" s="111"/>
      <c r="JKE161" s="111"/>
      <c r="JKF161" s="111"/>
      <c r="JKG161" s="111"/>
      <c r="JKH161" s="111"/>
      <c r="JKI161" s="111"/>
      <c r="JKJ161" s="111"/>
      <c r="JKK161" s="111"/>
      <c r="JKL161" s="111"/>
      <c r="JKM161" s="111"/>
      <c r="JKN161" s="111"/>
      <c r="JKO161" s="111"/>
      <c r="JKP161" s="111"/>
      <c r="JKQ161" s="111"/>
      <c r="JKR161" s="111"/>
      <c r="JKS161" s="111"/>
      <c r="JKT161" s="111"/>
      <c r="JKU161" s="111"/>
      <c r="JKV161" s="111"/>
      <c r="JKW161" s="111"/>
      <c r="JKX161" s="111"/>
      <c r="JKY161" s="111"/>
      <c r="JKZ161" s="111"/>
      <c r="JLA161" s="111"/>
      <c r="JLB161" s="111"/>
      <c r="JLC161" s="111"/>
      <c r="JLD161" s="111"/>
      <c r="JLE161" s="111"/>
      <c r="JLF161" s="111"/>
      <c r="JLG161" s="111"/>
      <c r="JLH161" s="111"/>
      <c r="JLI161" s="111"/>
      <c r="JLJ161" s="111"/>
      <c r="JLK161" s="111"/>
      <c r="JLL161" s="111"/>
      <c r="JLM161" s="111"/>
      <c r="JLN161" s="111"/>
      <c r="JLO161" s="111"/>
      <c r="JLP161" s="111"/>
      <c r="JLQ161" s="111"/>
      <c r="JLR161" s="111"/>
      <c r="JLS161" s="111"/>
      <c r="JLT161" s="111"/>
      <c r="JLU161" s="111"/>
      <c r="JLV161" s="111"/>
      <c r="JLW161" s="111"/>
      <c r="JLX161" s="111"/>
      <c r="JLY161" s="111"/>
      <c r="JLZ161" s="111"/>
      <c r="JMA161" s="111"/>
      <c r="JMB161" s="111"/>
      <c r="JMC161" s="111"/>
      <c r="JMD161" s="111"/>
      <c r="JME161" s="111"/>
      <c r="JMF161" s="111"/>
      <c r="JMG161" s="111"/>
      <c r="JMH161" s="111"/>
      <c r="JMI161" s="111"/>
      <c r="JMJ161" s="111"/>
      <c r="JMK161" s="111"/>
      <c r="JML161" s="111"/>
      <c r="JMM161" s="111"/>
      <c r="JMN161" s="111"/>
      <c r="JMO161" s="111"/>
      <c r="JMP161" s="111"/>
      <c r="JMQ161" s="111"/>
      <c r="JMR161" s="111"/>
      <c r="JMS161" s="111"/>
      <c r="JMT161" s="111"/>
      <c r="JMU161" s="111"/>
      <c r="JMV161" s="111"/>
      <c r="JMW161" s="111"/>
      <c r="JMX161" s="111"/>
      <c r="JMY161" s="111"/>
      <c r="JMZ161" s="111"/>
      <c r="JNA161" s="111"/>
      <c r="JNB161" s="111"/>
      <c r="JNC161" s="111"/>
      <c r="JND161" s="111"/>
      <c r="JNE161" s="111"/>
      <c r="JNF161" s="111"/>
      <c r="JNG161" s="111"/>
      <c r="JNH161" s="111"/>
      <c r="JNI161" s="111"/>
      <c r="JNJ161" s="111"/>
      <c r="JNK161" s="111"/>
      <c r="JNL161" s="111"/>
      <c r="JNM161" s="111"/>
      <c r="JNN161" s="111"/>
      <c r="JNO161" s="111"/>
      <c r="JNP161" s="111"/>
      <c r="JNQ161" s="111"/>
      <c r="JNR161" s="111"/>
      <c r="JNS161" s="111"/>
      <c r="JNT161" s="111"/>
      <c r="JNU161" s="111"/>
      <c r="JNV161" s="111"/>
      <c r="JNW161" s="111"/>
      <c r="JNX161" s="111"/>
      <c r="JNY161" s="111"/>
      <c r="JNZ161" s="111"/>
      <c r="JOA161" s="111"/>
      <c r="JOB161" s="111"/>
      <c r="JOC161" s="111"/>
      <c r="JOD161" s="111"/>
      <c r="JOE161" s="111"/>
      <c r="JOF161" s="111"/>
      <c r="JOG161" s="111"/>
      <c r="JOH161" s="111"/>
      <c r="JOI161" s="111"/>
      <c r="JOJ161" s="111"/>
      <c r="JOK161" s="111"/>
      <c r="JOL161" s="111"/>
      <c r="JOM161" s="111"/>
      <c r="JON161" s="111"/>
      <c r="JOO161" s="111"/>
      <c r="JOP161" s="111"/>
      <c r="JOQ161" s="111"/>
      <c r="JOR161" s="111"/>
      <c r="JOS161" s="111"/>
      <c r="JOT161" s="111"/>
      <c r="JOU161" s="111"/>
      <c r="JOV161" s="111"/>
      <c r="JOW161" s="111"/>
      <c r="JOX161" s="111"/>
      <c r="JOY161" s="111"/>
      <c r="JOZ161" s="111"/>
      <c r="JPA161" s="111"/>
      <c r="JPB161" s="111"/>
      <c r="JPC161" s="111"/>
      <c r="JPD161" s="111"/>
      <c r="JPE161" s="111"/>
      <c r="JPF161" s="111"/>
      <c r="JPG161" s="111"/>
      <c r="JPH161" s="111"/>
      <c r="JPI161" s="111"/>
      <c r="JPJ161" s="111"/>
      <c r="JPK161" s="111"/>
      <c r="JPL161" s="111"/>
      <c r="JPM161" s="111"/>
      <c r="JPN161" s="111"/>
      <c r="JPO161" s="111"/>
      <c r="JPP161" s="111"/>
      <c r="JPQ161" s="111"/>
      <c r="JPR161" s="111"/>
      <c r="JPS161" s="111"/>
      <c r="JPT161" s="111"/>
      <c r="JPU161" s="111"/>
      <c r="JPV161" s="111"/>
      <c r="JPW161" s="111"/>
      <c r="JPX161" s="111"/>
      <c r="JPY161" s="111"/>
      <c r="JPZ161" s="111"/>
      <c r="JQA161" s="111"/>
      <c r="JQB161" s="111"/>
      <c r="JQC161" s="111"/>
      <c r="JQD161" s="111"/>
      <c r="JQE161" s="111"/>
      <c r="JQF161" s="111"/>
      <c r="JQG161" s="111"/>
      <c r="JQH161" s="111"/>
      <c r="JQI161" s="111"/>
      <c r="JQJ161" s="111"/>
      <c r="JQK161" s="111"/>
      <c r="JQL161" s="111"/>
      <c r="JQM161" s="111"/>
      <c r="JQN161" s="111"/>
      <c r="JQO161" s="111"/>
      <c r="JQP161" s="111"/>
      <c r="JQQ161" s="111"/>
      <c r="JQR161" s="111"/>
      <c r="JQS161" s="111"/>
      <c r="JQT161" s="111"/>
      <c r="JQU161" s="111"/>
      <c r="JQV161" s="111"/>
      <c r="JQW161" s="111"/>
      <c r="JQX161" s="111"/>
      <c r="JQY161" s="111"/>
      <c r="JQZ161" s="111"/>
      <c r="JRA161" s="111"/>
      <c r="JRB161" s="111"/>
      <c r="JRC161" s="111"/>
      <c r="JRD161" s="111"/>
      <c r="JRE161" s="111"/>
      <c r="JRF161" s="111"/>
      <c r="JRG161" s="111"/>
      <c r="JRH161" s="111"/>
      <c r="JRI161" s="111"/>
      <c r="JRJ161" s="111"/>
      <c r="JRK161" s="111"/>
      <c r="JRL161" s="111"/>
      <c r="JRM161" s="111"/>
      <c r="JRN161" s="111"/>
      <c r="JRO161" s="111"/>
      <c r="JRP161" s="111"/>
      <c r="JRQ161" s="111"/>
      <c r="JRR161" s="111"/>
      <c r="JRS161" s="111"/>
      <c r="JRT161" s="111"/>
      <c r="JRU161" s="111"/>
      <c r="JRV161" s="111"/>
      <c r="JRW161" s="111"/>
      <c r="JRX161" s="111"/>
      <c r="JRY161" s="111"/>
      <c r="JRZ161" s="111"/>
      <c r="JSA161" s="111"/>
      <c r="JSB161" s="111"/>
      <c r="JSC161" s="111"/>
      <c r="JSD161" s="111"/>
      <c r="JSE161" s="111"/>
      <c r="JSF161" s="111"/>
      <c r="JSG161" s="111"/>
      <c r="JSH161" s="111"/>
      <c r="JSI161" s="111"/>
      <c r="JSJ161" s="111"/>
      <c r="JSK161" s="111"/>
      <c r="JSL161" s="111"/>
      <c r="JSM161" s="111"/>
      <c r="JSN161" s="111"/>
      <c r="JSO161" s="111"/>
      <c r="JSP161" s="111"/>
      <c r="JSQ161" s="111"/>
      <c r="JSR161" s="111"/>
      <c r="JSS161" s="111"/>
      <c r="JST161" s="111"/>
      <c r="JSU161" s="111"/>
      <c r="JSV161" s="111"/>
      <c r="JSW161" s="111"/>
      <c r="JSX161" s="111"/>
      <c r="JSY161" s="111"/>
      <c r="JSZ161" s="111"/>
      <c r="JTA161" s="111"/>
      <c r="JTB161" s="111"/>
      <c r="JTC161" s="111"/>
      <c r="JTD161" s="111"/>
      <c r="JTE161" s="111"/>
      <c r="JTF161" s="111"/>
      <c r="JTG161" s="111"/>
      <c r="JTH161" s="111"/>
      <c r="JTI161" s="111"/>
      <c r="JTJ161" s="111"/>
      <c r="JTK161" s="111"/>
      <c r="JTL161" s="111"/>
      <c r="JTM161" s="111"/>
      <c r="JTN161" s="111"/>
      <c r="JTO161" s="111"/>
      <c r="JTP161" s="111"/>
      <c r="JTQ161" s="111"/>
      <c r="JTR161" s="111"/>
      <c r="JTS161" s="111"/>
      <c r="JTT161" s="111"/>
      <c r="JTU161" s="111"/>
      <c r="JTV161" s="111"/>
      <c r="JTW161" s="111"/>
      <c r="JTX161" s="111"/>
      <c r="JTY161" s="111"/>
      <c r="JTZ161" s="111"/>
      <c r="JUA161" s="111"/>
      <c r="JUB161" s="111"/>
      <c r="JUC161" s="111"/>
      <c r="JUD161" s="111"/>
      <c r="JUE161" s="111"/>
      <c r="JUF161" s="111"/>
      <c r="JUG161" s="111"/>
      <c r="JUH161" s="111"/>
      <c r="JUI161" s="111"/>
      <c r="JUJ161" s="111"/>
      <c r="JUK161" s="111"/>
      <c r="JUL161" s="111"/>
      <c r="JUM161" s="111"/>
      <c r="JUN161" s="111"/>
      <c r="JUO161" s="111"/>
      <c r="JUP161" s="111"/>
      <c r="JUQ161" s="111"/>
      <c r="JUR161" s="111"/>
      <c r="JUS161" s="111"/>
      <c r="JUT161" s="111"/>
      <c r="JUU161" s="111"/>
      <c r="JUV161" s="111"/>
      <c r="JUW161" s="111"/>
      <c r="JUX161" s="111"/>
      <c r="JUY161" s="111"/>
      <c r="JUZ161" s="111"/>
      <c r="JVA161" s="111"/>
      <c r="JVB161" s="111"/>
      <c r="JVC161" s="111"/>
      <c r="JVD161" s="111"/>
      <c r="JVE161" s="111"/>
      <c r="JVF161" s="111"/>
      <c r="JVG161" s="111"/>
      <c r="JVH161" s="111"/>
      <c r="JVI161" s="111"/>
      <c r="JVJ161" s="111"/>
      <c r="JVK161" s="111"/>
      <c r="JVL161" s="111"/>
      <c r="JVM161" s="111"/>
      <c r="JVN161" s="111"/>
      <c r="JVO161" s="111"/>
      <c r="JVP161" s="111"/>
      <c r="JVQ161" s="111"/>
      <c r="JVR161" s="111"/>
      <c r="JVS161" s="111"/>
      <c r="JVT161" s="111"/>
      <c r="JVU161" s="111"/>
      <c r="JVV161" s="111"/>
      <c r="JVW161" s="111"/>
      <c r="JVX161" s="111"/>
      <c r="JVY161" s="111"/>
      <c r="JVZ161" s="111"/>
      <c r="JWA161" s="111"/>
      <c r="JWB161" s="111"/>
      <c r="JWC161" s="111"/>
      <c r="JWD161" s="111"/>
      <c r="JWE161" s="111"/>
      <c r="JWF161" s="111"/>
      <c r="JWG161" s="111"/>
      <c r="JWH161" s="111"/>
      <c r="JWI161" s="111"/>
      <c r="JWJ161" s="111"/>
      <c r="JWK161" s="111"/>
      <c r="JWL161" s="111"/>
      <c r="JWM161" s="111"/>
      <c r="JWN161" s="111"/>
      <c r="JWO161" s="111"/>
      <c r="JWP161" s="111"/>
      <c r="JWQ161" s="111"/>
      <c r="JWR161" s="111"/>
      <c r="JWS161" s="111"/>
      <c r="JWT161" s="111"/>
      <c r="JWU161" s="111"/>
      <c r="JWV161" s="111"/>
      <c r="JWW161" s="111"/>
      <c r="JWX161" s="111"/>
      <c r="JWY161" s="111"/>
      <c r="JWZ161" s="111"/>
      <c r="JXA161" s="111"/>
      <c r="JXB161" s="111"/>
      <c r="JXC161" s="111"/>
      <c r="JXD161" s="111"/>
      <c r="JXE161" s="111"/>
      <c r="JXF161" s="111"/>
      <c r="JXG161" s="111"/>
      <c r="JXH161" s="111"/>
      <c r="JXI161" s="111"/>
      <c r="JXJ161" s="111"/>
      <c r="JXK161" s="111"/>
      <c r="JXL161" s="111"/>
      <c r="JXM161" s="111"/>
      <c r="JXN161" s="111"/>
      <c r="JXO161" s="111"/>
      <c r="JXP161" s="111"/>
      <c r="JXQ161" s="111"/>
      <c r="JXR161" s="111"/>
      <c r="JXS161" s="111"/>
      <c r="JXT161" s="111"/>
      <c r="JXU161" s="111"/>
      <c r="JXV161" s="111"/>
      <c r="JXW161" s="111"/>
      <c r="JXX161" s="111"/>
      <c r="JXY161" s="111"/>
      <c r="JXZ161" s="111"/>
      <c r="JYA161" s="111"/>
      <c r="JYB161" s="111"/>
      <c r="JYC161" s="111"/>
      <c r="JYD161" s="111"/>
      <c r="JYE161" s="111"/>
      <c r="JYF161" s="111"/>
      <c r="JYG161" s="111"/>
      <c r="JYH161" s="111"/>
      <c r="JYI161" s="111"/>
      <c r="JYJ161" s="111"/>
      <c r="JYK161" s="111"/>
      <c r="JYL161" s="111"/>
      <c r="JYM161" s="111"/>
      <c r="JYN161" s="111"/>
      <c r="JYO161" s="111"/>
      <c r="JYP161" s="111"/>
      <c r="JYQ161" s="111"/>
      <c r="JYR161" s="111"/>
      <c r="JYS161" s="111"/>
      <c r="JYT161" s="111"/>
      <c r="JYU161" s="111"/>
      <c r="JYV161" s="111"/>
      <c r="JYW161" s="111"/>
      <c r="JYX161" s="111"/>
      <c r="JYY161" s="111"/>
      <c r="JYZ161" s="111"/>
      <c r="JZA161" s="111"/>
      <c r="JZB161" s="111"/>
      <c r="JZC161" s="111"/>
      <c r="JZD161" s="111"/>
      <c r="JZE161" s="111"/>
      <c r="JZF161" s="111"/>
      <c r="JZG161" s="111"/>
      <c r="JZH161" s="111"/>
      <c r="JZI161" s="111"/>
      <c r="JZJ161" s="111"/>
      <c r="JZK161" s="111"/>
      <c r="JZL161" s="111"/>
      <c r="JZM161" s="111"/>
      <c r="JZN161" s="111"/>
      <c r="JZO161" s="111"/>
      <c r="JZP161" s="111"/>
      <c r="JZQ161" s="111"/>
      <c r="JZR161" s="111"/>
      <c r="JZS161" s="111"/>
      <c r="JZT161" s="111"/>
      <c r="JZU161" s="111"/>
      <c r="JZV161" s="111"/>
      <c r="JZW161" s="111"/>
      <c r="JZX161" s="111"/>
      <c r="JZY161" s="111"/>
      <c r="JZZ161" s="111"/>
      <c r="KAA161" s="111"/>
      <c r="KAB161" s="111"/>
      <c r="KAC161" s="111"/>
      <c r="KAD161" s="111"/>
      <c r="KAE161" s="111"/>
      <c r="KAF161" s="111"/>
      <c r="KAG161" s="111"/>
      <c r="KAH161" s="111"/>
      <c r="KAI161" s="111"/>
      <c r="KAJ161" s="111"/>
      <c r="KAK161" s="111"/>
      <c r="KAL161" s="111"/>
      <c r="KAM161" s="111"/>
      <c r="KAN161" s="111"/>
      <c r="KAO161" s="111"/>
      <c r="KAP161" s="111"/>
      <c r="KAQ161" s="111"/>
      <c r="KAR161" s="111"/>
      <c r="KAS161" s="111"/>
      <c r="KAT161" s="111"/>
      <c r="KAU161" s="111"/>
      <c r="KAV161" s="111"/>
      <c r="KAW161" s="111"/>
      <c r="KAX161" s="111"/>
      <c r="KAY161" s="111"/>
      <c r="KAZ161" s="111"/>
      <c r="KBA161" s="111"/>
      <c r="KBB161" s="111"/>
      <c r="KBC161" s="111"/>
      <c r="KBD161" s="111"/>
      <c r="KBE161" s="111"/>
      <c r="KBF161" s="111"/>
      <c r="KBG161" s="111"/>
      <c r="KBH161" s="111"/>
      <c r="KBI161" s="111"/>
      <c r="KBJ161" s="111"/>
      <c r="KBK161" s="111"/>
      <c r="KBL161" s="111"/>
      <c r="KBM161" s="111"/>
      <c r="KBN161" s="111"/>
      <c r="KBO161" s="111"/>
      <c r="KBP161" s="111"/>
      <c r="KBQ161" s="111"/>
      <c r="KBR161" s="111"/>
      <c r="KBS161" s="111"/>
      <c r="KBT161" s="111"/>
      <c r="KBU161" s="111"/>
      <c r="KBV161" s="111"/>
      <c r="KBW161" s="111"/>
      <c r="KBX161" s="111"/>
      <c r="KBY161" s="111"/>
      <c r="KBZ161" s="111"/>
      <c r="KCA161" s="111"/>
      <c r="KCB161" s="111"/>
      <c r="KCC161" s="111"/>
      <c r="KCD161" s="111"/>
      <c r="KCE161" s="111"/>
      <c r="KCF161" s="111"/>
      <c r="KCG161" s="111"/>
      <c r="KCH161" s="111"/>
      <c r="KCI161" s="111"/>
      <c r="KCJ161" s="111"/>
      <c r="KCK161" s="111"/>
      <c r="KCL161" s="111"/>
      <c r="KCM161" s="111"/>
      <c r="KCN161" s="111"/>
      <c r="KCO161" s="111"/>
      <c r="KCP161" s="111"/>
      <c r="KCQ161" s="111"/>
      <c r="KCR161" s="111"/>
      <c r="KCS161" s="111"/>
      <c r="KCT161" s="111"/>
      <c r="KCU161" s="111"/>
      <c r="KCV161" s="111"/>
      <c r="KCW161" s="111"/>
      <c r="KCX161" s="111"/>
      <c r="KCY161" s="111"/>
      <c r="KCZ161" s="111"/>
      <c r="KDA161" s="111"/>
      <c r="KDB161" s="111"/>
      <c r="KDC161" s="111"/>
      <c r="KDD161" s="111"/>
      <c r="KDE161" s="111"/>
      <c r="KDF161" s="111"/>
      <c r="KDG161" s="111"/>
      <c r="KDH161" s="111"/>
      <c r="KDI161" s="111"/>
      <c r="KDJ161" s="111"/>
      <c r="KDK161" s="111"/>
      <c r="KDL161" s="111"/>
      <c r="KDM161" s="111"/>
      <c r="KDN161" s="111"/>
      <c r="KDO161" s="111"/>
      <c r="KDP161" s="111"/>
      <c r="KDQ161" s="111"/>
      <c r="KDR161" s="111"/>
      <c r="KDS161" s="111"/>
      <c r="KDT161" s="111"/>
      <c r="KDU161" s="111"/>
      <c r="KDV161" s="111"/>
      <c r="KDW161" s="111"/>
      <c r="KDX161" s="111"/>
      <c r="KDY161" s="111"/>
      <c r="KDZ161" s="111"/>
      <c r="KEA161" s="111"/>
      <c r="KEB161" s="111"/>
      <c r="KEC161" s="111"/>
      <c r="KED161" s="111"/>
      <c r="KEE161" s="111"/>
      <c r="KEF161" s="111"/>
      <c r="KEG161" s="111"/>
      <c r="KEH161" s="111"/>
      <c r="KEI161" s="111"/>
      <c r="KEJ161" s="111"/>
      <c r="KEK161" s="111"/>
      <c r="KEL161" s="111"/>
      <c r="KEM161" s="111"/>
      <c r="KEN161" s="111"/>
      <c r="KEO161" s="111"/>
      <c r="KEP161" s="111"/>
      <c r="KEQ161" s="111"/>
      <c r="KER161" s="111"/>
      <c r="KES161" s="111"/>
      <c r="KET161" s="111"/>
      <c r="KEU161" s="111"/>
      <c r="KEV161" s="111"/>
      <c r="KEW161" s="111"/>
      <c r="KEX161" s="111"/>
      <c r="KEY161" s="111"/>
      <c r="KEZ161" s="111"/>
      <c r="KFA161" s="111"/>
      <c r="KFB161" s="111"/>
      <c r="KFC161" s="111"/>
      <c r="KFD161" s="111"/>
      <c r="KFE161" s="111"/>
      <c r="KFF161" s="111"/>
      <c r="KFG161" s="111"/>
      <c r="KFH161" s="111"/>
      <c r="KFI161" s="111"/>
      <c r="KFJ161" s="111"/>
      <c r="KFK161" s="111"/>
      <c r="KFL161" s="111"/>
      <c r="KFM161" s="111"/>
      <c r="KFN161" s="111"/>
      <c r="KFO161" s="111"/>
      <c r="KFP161" s="111"/>
      <c r="KFQ161" s="111"/>
      <c r="KFR161" s="111"/>
      <c r="KFS161" s="111"/>
      <c r="KFT161" s="111"/>
      <c r="KFU161" s="111"/>
      <c r="KFV161" s="111"/>
      <c r="KFW161" s="111"/>
      <c r="KFX161" s="111"/>
      <c r="KFY161" s="111"/>
      <c r="KFZ161" s="111"/>
      <c r="KGA161" s="111"/>
      <c r="KGB161" s="111"/>
      <c r="KGC161" s="111"/>
      <c r="KGD161" s="111"/>
      <c r="KGE161" s="111"/>
      <c r="KGF161" s="111"/>
      <c r="KGG161" s="111"/>
      <c r="KGH161" s="111"/>
      <c r="KGI161" s="111"/>
      <c r="KGJ161" s="111"/>
      <c r="KGK161" s="111"/>
      <c r="KGL161" s="111"/>
      <c r="KGM161" s="111"/>
      <c r="KGN161" s="111"/>
      <c r="KGO161" s="111"/>
      <c r="KGP161" s="111"/>
      <c r="KGQ161" s="111"/>
      <c r="KGR161" s="111"/>
      <c r="KGS161" s="111"/>
      <c r="KGT161" s="111"/>
      <c r="KGU161" s="111"/>
      <c r="KGV161" s="111"/>
      <c r="KGW161" s="111"/>
      <c r="KGX161" s="111"/>
      <c r="KGY161" s="111"/>
      <c r="KGZ161" s="111"/>
      <c r="KHA161" s="111"/>
      <c r="KHB161" s="111"/>
      <c r="KHC161" s="111"/>
      <c r="KHD161" s="111"/>
      <c r="KHE161" s="111"/>
      <c r="KHF161" s="111"/>
      <c r="KHG161" s="111"/>
      <c r="KHH161" s="111"/>
      <c r="KHI161" s="111"/>
      <c r="KHJ161" s="111"/>
      <c r="KHK161" s="111"/>
      <c r="KHL161" s="111"/>
      <c r="KHM161" s="111"/>
      <c r="KHN161" s="111"/>
      <c r="KHO161" s="111"/>
      <c r="KHP161" s="111"/>
      <c r="KHQ161" s="111"/>
      <c r="KHR161" s="111"/>
      <c r="KHS161" s="111"/>
      <c r="KHT161" s="111"/>
      <c r="KHU161" s="111"/>
      <c r="KHV161" s="111"/>
      <c r="KHW161" s="111"/>
      <c r="KHX161" s="111"/>
      <c r="KHY161" s="111"/>
      <c r="KHZ161" s="111"/>
      <c r="KIA161" s="111"/>
      <c r="KIB161" s="111"/>
      <c r="KIC161" s="111"/>
      <c r="KID161" s="111"/>
      <c r="KIE161" s="111"/>
      <c r="KIF161" s="111"/>
      <c r="KIG161" s="111"/>
      <c r="KIH161" s="111"/>
      <c r="KII161" s="111"/>
      <c r="KIJ161" s="111"/>
      <c r="KIK161" s="111"/>
      <c r="KIL161" s="111"/>
      <c r="KIM161" s="111"/>
      <c r="KIN161" s="111"/>
      <c r="KIO161" s="111"/>
      <c r="KIP161" s="111"/>
      <c r="KIQ161" s="111"/>
      <c r="KIR161" s="111"/>
      <c r="KIS161" s="111"/>
      <c r="KIT161" s="111"/>
      <c r="KIU161" s="111"/>
      <c r="KIV161" s="111"/>
      <c r="KIW161" s="111"/>
      <c r="KIX161" s="111"/>
      <c r="KIY161" s="111"/>
      <c r="KIZ161" s="111"/>
      <c r="KJA161" s="111"/>
      <c r="KJB161" s="111"/>
      <c r="KJC161" s="111"/>
      <c r="KJD161" s="111"/>
      <c r="KJE161" s="111"/>
      <c r="KJF161" s="111"/>
      <c r="KJG161" s="111"/>
      <c r="KJH161" s="111"/>
      <c r="KJI161" s="111"/>
      <c r="KJJ161" s="111"/>
      <c r="KJK161" s="111"/>
      <c r="KJL161" s="111"/>
      <c r="KJM161" s="111"/>
      <c r="KJN161" s="111"/>
      <c r="KJO161" s="111"/>
      <c r="KJP161" s="111"/>
      <c r="KJQ161" s="111"/>
      <c r="KJR161" s="111"/>
      <c r="KJS161" s="111"/>
      <c r="KJT161" s="111"/>
      <c r="KJU161" s="111"/>
      <c r="KJV161" s="111"/>
      <c r="KJW161" s="111"/>
      <c r="KJX161" s="111"/>
      <c r="KJY161" s="111"/>
      <c r="KJZ161" s="111"/>
      <c r="KKA161" s="111"/>
      <c r="KKB161" s="111"/>
      <c r="KKC161" s="111"/>
      <c r="KKD161" s="111"/>
      <c r="KKE161" s="111"/>
      <c r="KKF161" s="111"/>
      <c r="KKG161" s="111"/>
      <c r="KKH161" s="111"/>
      <c r="KKI161" s="111"/>
      <c r="KKJ161" s="111"/>
      <c r="KKK161" s="111"/>
      <c r="KKL161" s="111"/>
      <c r="KKM161" s="111"/>
      <c r="KKN161" s="111"/>
      <c r="KKO161" s="111"/>
      <c r="KKP161" s="111"/>
      <c r="KKQ161" s="111"/>
      <c r="KKR161" s="111"/>
      <c r="KKS161" s="111"/>
      <c r="KKT161" s="111"/>
      <c r="KKU161" s="111"/>
      <c r="KKV161" s="111"/>
      <c r="KKW161" s="111"/>
      <c r="KKX161" s="111"/>
      <c r="KKY161" s="111"/>
      <c r="KKZ161" s="111"/>
      <c r="KLA161" s="111"/>
      <c r="KLB161" s="111"/>
      <c r="KLC161" s="111"/>
      <c r="KLD161" s="111"/>
      <c r="KLE161" s="111"/>
      <c r="KLF161" s="111"/>
      <c r="KLG161" s="111"/>
      <c r="KLH161" s="111"/>
      <c r="KLI161" s="111"/>
      <c r="KLJ161" s="111"/>
      <c r="KLK161" s="111"/>
      <c r="KLL161" s="111"/>
      <c r="KLM161" s="111"/>
      <c r="KLN161" s="111"/>
      <c r="KLO161" s="111"/>
      <c r="KLP161" s="111"/>
      <c r="KLQ161" s="111"/>
      <c r="KLR161" s="111"/>
      <c r="KLS161" s="111"/>
      <c r="KLT161" s="111"/>
      <c r="KLU161" s="111"/>
      <c r="KLV161" s="111"/>
      <c r="KLW161" s="111"/>
      <c r="KLX161" s="111"/>
      <c r="KLY161" s="111"/>
      <c r="KLZ161" s="111"/>
      <c r="KMA161" s="111"/>
      <c r="KMB161" s="111"/>
      <c r="KMC161" s="111"/>
      <c r="KMD161" s="111"/>
      <c r="KME161" s="111"/>
      <c r="KMF161" s="111"/>
      <c r="KMG161" s="111"/>
      <c r="KMH161" s="111"/>
      <c r="KMI161" s="111"/>
      <c r="KMJ161" s="111"/>
      <c r="KMK161" s="111"/>
      <c r="KML161" s="111"/>
      <c r="KMM161" s="111"/>
      <c r="KMN161" s="111"/>
      <c r="KMO161" s="111"/>
      <c r="KMP161" s="111"/>
      <c r="KMQ161" s="111"/>
      <c r="KMR161" s="111"/>
      <c r="KMS161" s="111"/>
      <c r="KMT161" s="111"/>
      <c r="KMU161" s="111"/>
      <c r="KMV161" s="111"/>
      <c r="KMW161" s="111"/>
      <c r="KMX161" s="111"/>
      <c r="KMY161" s="111"/>
      <c r="KMZ161" s="111"/>
      <c r="KNA161" s="111"/>
      <c r="KNB161" s="111"/>
      <c r="KNC161" s="111"/>
      <c r="KND161" s="111"/>
      <c r="KNE161" s="111"/>
      <c r="KNF161" s="111"/>
      <c r="KNG161" s="111"/>
      <c r="KNH161" s="111"/>
      <c r="KNI161" s="111"/>
      <c r="KNJ161" s="111"/>
      <c r="KNK161" s="111"/>
      <c r="KNL161" s="111"/>
      <c r="KNM161" s="111"/>
      <c r="KNN161" s="111"/>
      <c r="KNO161" s="111"/>
      <c r="KNP161" s="111"/>
      <c r="KNQ161" s="111"/>
      <c r="KNR161" s="111"/>
      <c r="KNS161" s="111"/>
      <c r="KNT161" s="111"/>
      <c r="KNU161" s="111"/>
      <c r="KNV161" s="111"/>
      <c r="KNW161" s="111"/>
      <c r="KNX161" s="111"/>
      <c r="KNY161" s="111"/>
      <c r="KNZ161" s="111"/>
      <c r="KOA161" s="111"/>
      <c r="KOB161" s="111"/>
      <c r="KOC161" s="111"/>
      <c r="KOD161" s="111"/>
      <c r="KOE161" s="111"/>
      <c r="KOF161" s="111"/>
      <c r="KOG161" s="111"/>
      <c r="KOH161" s="111"/>
      <c r="KOI161" s="111"/>
      <c r="KOJ161" s="111"/>
      <c r="KOK161" s="111"/>
      <c r="KOL161" s="111"/>
      <c r="KOM161" s="111"/>
      <c r="KON161" s="111"/>
      <c r="KOO161" s="111"/>
      <c r="KOP161" s="111"/>
      <c r="KOQ161" s="111"/>
      <c r="KOR161" s="111"/>
      <c r="KOS161" s="111"/>
      <c r="KOT161" s="111"/>
      <c r="KOU161" s="111"/>
      <c r="KOV161" s="111"/>
      <c r="KOW161" s="111"/>
      <c r="KOX161" s="111"/>
      <c r="KOY161" s="111"/>
      <c r="KOZ161" s="111"/>
      <c r="KPA161" s="111"/>
      <c r="KPB161" s="111"/>
      <c r="KPC161" s="111"/>
      <c r="KPD161" s="111"/>
      <c r="KPE161" s="111"/>
      <c r="KPF161" s="111"/>
      <c r="KPG161" s="111"/>
      <c r="KPH161" s="111"/>
      <c r="KPI161" s="111"/>
      <c r="KPJ161" s="111"/>
      <c r="KPK161" s="111"/>
      <c r="KPL161" s="111"/>
      <c r="KPM161" s="111"/>
      <c r="KPN161" s="111"/>
      <c r="KPO161" s="111"/>
      <c r="KPP161" s="111"/>
      <c r="KPQ161" s="111"/>
      <c r="KPR161" s="111"/>
      <c r="KPS161" s="111"/>
      <c r="KPT161" s="111"/>
      <c r="KPU161" s="111"/>
      <c r="KPV161" s="111"/>
      <c r="KPW161" s="111"/>
      <c r="KPX161" s="111"/>
      <c r="KPY161" s="111"/>
      <c r="KPZ161" s="111"/>
      <c r="KQA161" s="111"/>
      <c r="KQB161" s="111"/>
      <c r="KQC161" s="111"/>
      <c r="KQD161" s="111"/>
      <c r="KQE161" s="111"/>
      <c r="KQF161" s="111"/>
      <c r="KQG161" s="111"/>
      <c r="KQH161" s="111"/>
      <c r="KQI161" s="111"/>
      <c r="KQJ161" s="111"/>
      <c r="KQK161" s="111"/>
      <c r="KQL161" s="111"/>
      <c r="KQM161" s="111"/>
      <c r="KQN161" s="111"/>
      <c r="KQO161" s="111"/>
      <c r="KQP161" s="111"/>
      <c r="KQQ161" s="111"/>
      <c r="KQR161" s="111"/>
      <c r="KQS161" s="111"/>
      <c r="KQT161" s="111"/>
      <c r="KQU161" s="111"/>
      <c r="KQV161" s="111"/>
      <c r="KQW161" s="111"/>
      <c r="KQX161" s="111"/>
      <c r="KQY161" s="111"/>
      <c r="KQZ161" s="111"/>
      <c r="KRA161" s="111"/>
      <c r="KRB161" s="111"/>
      <c r="KRC161" s="111"/>
      <c r="KRD161" s="111"/>
      <c r="KRE161" s="111"/>
      <c r="KRF161" s="111"/>
      <c r="KRG161" s="111"/>
      <c r="KRH161" s="111"/>
      <c r="KRI161" s="111"/>
      <c r="KRJ161" s="111"/>
      <c r="KRK161" s="111"/>
      <c r="KRL161" s="111"/>
      <c r="KRM161" s="111"/>
      <c r="KRN161" s="111"/>
      <c r="KRO161" s="111"/>
      <c r="KRP161" s="111"/>
      <c r="KRQ161" s="111"/>
      <c r="KRR161" s="111"/>
      <c r="KRS161" s="111"/>
      <c r="KRT161" s="111"/>
      <c r="KRU161" s="111"/>
      <c r="KRV161" s="111"/>
      <c r="KRW161" s="111"/>
      <c r="KRX161" s="111"/>
      <c r="KRY161" s="111"/>
      <c r="KRZ161" s="111"/>
      <c r="KSA161" s="111"/>
      <c r="KSB161" s="111"/>
      <c r="KSC161" s="111"/>
      <c r="KSD161" s="111"/>
      <c r="KSE161" s="111"/>
      <c r="KSF161" s="111"/>
      <c r="KSG161" s="111"/>
      <c r="KSH161" s="111"/>
      <c r="KSI161" s="111"/>
      <c r="KSJ161" s="111"/>
      <c r="KSK161" s="111"/>
      <c r="KSL161" s="111"/>
      <c r="KSM161" s="111"/>
      <c r="KSN161" s="111"/>
      <c r="KSO161" s="111"/>
      <c r="KSP161" s="111"/>
      <c r="KSQ161" s="111"/>
      <c r="KSR161" s="111"/>
      <c r="KSS161" s="111"/>
      <c r="KST161" s="111"/>
      <c r="KSU161" s="111"/>
      <c r="KSV161" s="111"/>
      <c r="KSW161" s="111"/>
      <c r="KSX161" s="111"/>
      <c r="KSY161" s="111"/>
      <c r="KSZ161" s="111"/>
      <c r="KTA161" s="111"/>
      <c r="KTB161" s="111"/>
      <c r="KTC161" s="111"/>
      <c r="KTD161" s="111"/>
      <c r="KTE161" s="111"/>
      <c r="KTF161" s="111"/>
      <c r="KTG161" s="111"/>
      <c r="KTH161" s="111"/>
      <c r="KTI161" s="111"/>
      <c r="KTJ161" s="111"/>
      <c r="KTK161" s="111"/>
      <c r="KTL161" s="111"/>
      <c r="KTM161" s="111"/>
      <c r="KTN161" s="111"/>
      <c r="KTO161" s="111"/>
      <c r="KTP161" s="111"/>
      <c r="KTQ161" s="111"/>
      <c r="KTR161" s="111"/>
      <c r="KTS161" s="111"/>
      <c r="KTT161" s="111"/>
      <c r="KTU161" s="111"/>
      <c r="KTV161" s="111"/>
      <c r="KTW161" s="111"/>
      <c r="KTX161" s="111"/>
      <c r="KTY161" s="111"/>
      <c r="KTZ161" s="111"/>
      <c r="KUA161" s="111"/>
      <c r="KUB161" s="111"/>
      <c r="KUC161" s="111"/>
      <c r="KUD161" s="111"/>
      <c r="KUE161" s="111"/>
      <c r="KUF161" s="111"/>
      <c r="KUG161" s="111"/>
      <c r="KUH161" s="111"/>
      <c r="KUI161" s="111"/>
      <c r="KUJ161" s="111"/>
      <c r="KUK161" s="111"/>
      <c r="KUL161" s="111"/>
      <c r="KUM161" s="111"/>
      <c r="KUN161" s="111"/>
      <c r="KUO161" s="111"/>
      <c r="KUP161" s="111"/>
      <c r="KUQ161" s="111"/>
      <c r="KUR161" s="111"/>
      <c r="KUS161" s="111"/>
      <c r="KUT161" s="111"/>
      <c r="KUU161" s="111"/>
      <c r="KUV161" s="111"/>
      <c r="KUW161" s="111"/>
      <c r="KUX161" s="111"/>
      <c r="KUY161" s="111"/>
      <c r="KUZ161" s="111"/>
      <c r="KVA161" s="111"/>
      <c r="KVB161" s="111"/>
      <c r="KVC161" s="111"/>
      <c r="KVD161" s="111"/>
      <c r="KVE161" s="111"/>
      <c r="KVF161" s="111"/>
      <c r="KVG161" s="111"/>
      <c r="KVH161" s="111"/>
      <c r="KVI161" s="111"/>
      <c r="KVJ161" s="111"/>
      <c r="KVK161" s="111"/>
      <c r="KVL161" s="111"/>
      <c r="KVM161" s="111"/>
      <c r="KVN161" s="111"/>
      <c r="KVO161" s="111"/>
      <c r="KVP161" s="111"/>
      <c r="KVQ161" s="111"/>
      <c r="KVR161" s="111"/>
      <c r="KVS161" s="111"/>
      <c r="KVT161" s="111"/>
      <c r="KVU161" s="111"/>
      <c r="KVV161" s="111"/>
      <c r="KVW161" s="111"/>
      <c r="KVX161" s="111"/>
      <c r="KVY161" s="111"/>
      <c r="KVZ161" s="111"/>
      <c r="KWA161" s="111"/>
      <c r="KWB161" s="111"/>
      <c r="KWC161" s="111"/>
      <c r="KWD161" s="111"/>
      <c r="KWE161" s="111"/>
      <c r="KWF161" s="111"/>
      <c r="KWG161" s="111"/>
      <c r="KWH161" s="111"/>
      <c r="KWI161" s="111"/>
      <c r="KWJ161" s="111"/>
      <c r="KWK161" s="111"/>
      <c r="KWL161" s="111"/>
      <c r="KWM161" s="111"/>
      <c r="KWN161" s="111"/>
      <c r="KWO161" s="111"/>
      <c r="KWP161" s="111"/>
      <c r="KWQ161" s="111"/>
      <c r="KWR161" s="111"/>
      <c r="KWS161" s="111"/>
      <c r="KWT161" s="111"/>
      <c r="KWU161" s="111"/>
      <c r="KWV161" s="111"/>
      <c r="KWW161" s="111"/>
      <c r="KWX161" s="111"/>
      <c r="KWY161" s="111"/>
      <c r="KWZ161" s="111"/>
      <c r="KXA161" s="111"/>
      <c r="KXB161" s="111"/>
      <c r="KXC161" s="111"/>
      <c r="KXD161" s="111"/>
      <c r="KXE161" s="111"/>
      <c r="KXF161" s="111"/>
      <c r="KXG161" s="111"/>
      <c r="KXH161" s="111"/>
      <c r="KXI161" s="111"/>
      <c r="KXJ161" s="111"/>
      <c r="KXK161" s="111"/>
      <c r="KXL161" s="111"/>
      <c r="KXM161" s="111"/>
      <c r="KXN161" s="111"/>
      <c r="KXO161" s="111"/>
      <c r="KXP161" s="111"/>
      <c r="KXQ161" s="111"/>
      <c r="KXR161" s="111"/>
      <c r="KXS161" s="111"/>
      <c r="KXT161" s="111"/>
      <c r="KXU161" s="111"/>
      <c r="KXV161" s="111"/>
      <c r="KXW161" s="111"/>
      <c r="KXX161" s="111"/>
      <c r="KXY161" s="111"/>
      <c r="KXZ161" s="111"/>
      <c r="KYA161" s="111"/>
      <c r="KYB161" s="111"/>
      <c r="KYC161" s="111"/>
      <c r="KYD161" s="111"/>
      <c r="KYE161" s="111"/>
      <c r="KYF161" s="111"/>
      <c r="KYG161" s="111"/>
      <c r="KYH161" s="111"/>
      <c r="KYI161" s="111"/>
      <c r="KYJ161" s="111"/>
      <c r="KYK161" s="111"/>
      <c r="KYL161" s="111"/>
      <c r="KYM161" s="111"/>
      <c r="KYN161" s="111"/>
      <c r="KYO161" s="111"/>
      <c r="KYP161" s="111"/>
      <c r="KYQ161" s="111"/>
      <c r="KYR161" s="111"/>
      <c r="KYS161" s="111"/>
      <c r="KYT161" s="111"/>
      <c r="KYU161" s="111"/>
      <c r="KYV161" s="111"/>
      <c r="KYW161" s="111"/>
      <c r="KYX161" s="111"/>
      <c r="KYY161" s="111"/>
      <c r="KYZ161" s="111"/>
      <c r="KZA161" s="111"/>
      <c r="KZB161" s="111"/>
      <c r="KZC161" s="111"/>
      <c r="KZD161" s="111"/>
      <c r="KZE161" s="111"/>
      <c r="KZF161" s="111"/>
      <c r="KZG161" s="111"/>
      <c r="KZH161" s="111"/>
      <c r="KZI161" s="111"/>
      <c r="KZJ161" s="111"/>
      <c r="KZK161" s="111"/>
      <c r="KZL161" s="111"/>
      <c r="KZM161" s="111"/>
      <c r="KZN161" s="111"/>
      <c r="KZO161" s="111"/>
      <c r="KZP161" s="111"/>
      <c r="KZQ161" s="111"/>
      <c r="KZR161" s="111"/>
      <c r="KZS161" s="111"/>
      <c r="KZT161" s="111"/>
      <c r="KZU161" s="111"/>
      <c r="KZV161" s="111"/>
      <c r="KZW161" s="111"/>
      <c r="KZX161" s="111"/>
      <c r="KZY161" s="111"/>
      <c r="KZZ161" s="111"/>
      <c r="LAA161" s="111"/>
      <c r="LAB161" s="111"/>
      <c r="LAC161" s="111"/>
      <c r="LAD161" s="111"/>
      <c r="LAE161" s="111"/>
      <c r="LAF161" s="111"/>
      <c r="LAG161" s="111"/>
      <c r="LAH161" s="111"/>
      <c r="LAI161" s="111"/>
      <c r="LAJ161" s="111"/>
      <c r="LAK161" s="111"/>
      <c r="LAL161" s="111"/>
      <c r="LAM161" s="111"/>
      <c r="LAN161" s="111"/>
      <c r="LAO161" s="111"/>
      <c r="LAP161" s="111"/>
      <c r="LAQ161" s="111"/>
      <c r="LAR161" s="111"/>
      <c r="LAS161" s="111"/>
      <c r="LAT161" s="111"/>
      <c r="LAU161" s="111"/>
      <c r="LAV161" s="111"/>
      <c r="LAW161" s="111"/>
      <c r="LAX161" s="111"/>
      <c r="LAY161" s="111"/>
      <c r="LAZ161" s="111"/>
      <c r="LBA161" s="111"/>
      <c r="LBB161" s="111"/>
      <c r="LBC161" s="111"/>
      <c r="LBD161" s="111"/>
      <c r="LBE161" s="111"/>
      <c r="LBF161" s="111"/>
      <c r="LBG161" s="111"/>
      <c r="LBH161" s="111"/>
      <c r="LBI161" s="111"/>
      <c r="LBJ161" s="111"/>
      <c r="LBK161" s="111"/>
      <c r="LBL161" s="111"/>
      <c r="LBM161" s="111"/>
      <c r="LBN161" s="111"/>
      <c r="LBO161" s="111"/>
      <c r="LBP161" s="111"/>
      <c r="LBQ161" s="111"/>
      <c r="LBR161" s="111"/>
      <c r="LBS161" s="111"/>
      <c r="LBT161" s="111"/>
      <c r="LBU161" s="111"/>
      <c r="LBV161" s="111"/>
      <c r="LBW161" s="111"/>
      <c r="LBX161" s="111"/>
      <c r="LBY161" s="111"/>
      <c r="LBZ161" s="111"/>
      <c r="LCA161" s="111"/>
      <c r="LCB161" s="111"/>
      <c r="LCC161" s="111"/>
      <c r="LCD161" s="111"/>
      <c r="LCE161" s="111"/>
      <c r="LCF161" s="111"/>
      <c r="LCG161" s="111"/>
      <c r="LCH161" s="111"/>
      <c r="LCI161" s="111"/>
      <c r="LCJ161" s="111"/>
      <c r="LCK161" s="111"/>
      <c r="LCL161" s="111"/>
      <c r="LCM161" s="111"/>
      <c r="LCN161" s="111"/>
      <c r="LCO161" s="111"/>
      <c r="LCP161" s="111"/>
      <c r="LCQ161" s="111"/>
      <c r="LCR161" s="111"/>
      <c r="LCS161" s="111"/>
      <c r="LCT161" s="111"/>
      <c r="LCU161" s="111"/>
      <c r="LCV161" s="111"/>
      <c r="LCW161" s="111"/>
      <c r="LCX161" s="111"/>
      <c r="LCY161" s="111"/>
      <c r="LCZ161" s="111"/>
      <c r="LDA161" s="111"/>
      <c r="LDB161" s="111"/>
      <c r="LDC161" s="111"/>
      <c r="LDD161" s="111"/>
      <c r="LDE161" s="111"/>
      <c r="LDF161" s="111"/>
      <c r="LDG161" s="111"/>
      <c r="LDH161" s="111"/>
      <c r="LDI161" s="111"/>
      <c r="LDJ161" s="111"/>
      <c r="LDK161" s="111"/>
      <c r="LDL161" s="111"/>
      <c r="LDM161" s="111"/>
      <c r="LDN161" s="111"/>
      <c r="LDO161" s="111"/>
      <c r="LDP161" s="111"/>
      <c r="LDQ161" s="111"/>
      <c r="LDR161" s="111"/>
      <c r="LDS161" s="111"/>
      <c r="LDT161" s="111"/>
      <c r="LDU161" s="111"/>
      <c r="LDV161" s="111"/>
      <c r="LDW161" s="111"/>
      <c r="LDX161" s="111"/>
      <c r="LDY161" s="111"/>
      <c r="LDZ161" s="111"/>
      <c r="LEA161" s="111"/>
      <c r="LEB161" s="111"/>
      <c r="LEC161" s="111"/>
      <c r="LED161" s="111"/>
      <c r="LEE161" s="111"/>
      <c r="LEF161" s="111"/>
      <c r="LEG161" s="111"/>
      <c r="LEH161" s="111"/>
      <c r="LEI161" s="111"/>
      <c r="LEJ161" s="111"/>
      <c r="LEK161" s="111"/>
      <c r="LEL161" s="111"/>
      <c r="LEM161" s="111"/>
      <c r="LEN161" s="111"/>
      <c r="LEO161" s="111"/>
      <c r="LEP161" s="111"/>
      <c r="LEQ161" s="111"/>
      <c r="LER161" s="111"/>
      <c r="LES161" s="111"/>
      <c r="LET161" s="111"/>
      <c r="LEU161" s="111"/>
      <c r="LEV161" s="111"/>
      <c r="LEW161" s="111"/>
      <c r="LEX161" s="111"/>
      <c r="LEY161" s="111"/>
      <c r="LEZ161" s="111"/>
      <c r="LFA161" s="111"/>
      <c r="LFB161" s="111"/>
      <c r="LFC161" s="111"/>
      <c r="LFD161" s="111"/>
      <c r="LFE161" s="111"/>
      <c r="LFF161" s="111"/>
      <c r="LFG161" s="111"/>
      <c r="LFH161" s="111"/>
      <c r="LFI161" s="111"/>
      <c r="LFJ161" s="111"/>
      <c r="LFK161" s="111"/>
      <c r="LFL161" s="111"/>
      <c r="LFM161" s="111"/>
      <c r="LFN161" s="111"/>
      <c r="LFO161" s="111"/>
      <c r="LFP161" s="111"/>
      <c r="LFQ161" s="111"/>
      <c r="LFR161" s="111"/>
      <c r="LFS161" s="111"/>
      <c r="LFT161" s="111"/>
      <c r="LFU161" s="111"/>
      <c r="LFV161" s="111"/>
      <c r="LFW161" s="111"/>
      <c r="LFX161" s="111"/>
      <c r="LFY161" s="111"/>
      <c r="LFZ161" s="111"/>
      <c r="LGA161" s="111"/>
      <c r="LGB161" s="111"/>
      <c r="LGC161" s="111"/>
      <c r="LGD161" s="111"/>
      <c r="LGE161" s="111"/>
      <c r="LGF161" s="111"/>
      <c r="LGG161" s="111"/>
      <c r="LGH161" s="111"/>
      <c r="LGI161" s="111"/>
      <c r="LGJ161" s="111"/>
      <c r="LGK161" s="111"/>
      <c r="LGL161" s="111"/>
      <c r="LGM161" s="111"/>
      <c r="LGN161" s="111"/>
      <c r="LGO161" s="111"/>
      <c r="LGP161" s="111"/>
      <c r="LGQ161" s="111"/>
      <c r="LGR161" s="111"/>
      <c r="LGS161" s="111"/>
      <c r="LGT161" s="111"/>
      <c r="LGU161" s="111"/>
      <c r="LGV161" s="111"/>
      <c r="LGW161" s="111"/>
      <c r="LGX161" s="111"/>
      <c r="LGY161" s="111"/>
      <c r="LGZ161" s="111"/>
      <c r="LHA161" s="111"/>
      <c r="LHB161" s="111"/>
      <c r="LHC161" s="111"/>
      <c r="LHD161" s="111"/>
      <c r="LHE161" s="111"/>
      <c r="LHF161" s="111"/>
      <c r="LHG161" s="111"/>
      <c r="LHH161" s="111"/>
      <c r="LHI161" s="111"/>
      <c r="LHJ161" s="111"/>
      <c r="LHK161" s="111"/>
      <c r="LHL161" s="111"/>
      <c r="LHM161" s="111"/>
      <c r="LHN161" s="111"/>
      <c r="LHO161" s="111"/>
      <c r="LHP161" s="111"/>
      <c r="LHQ161" s="111"/>
      <c r="LHR161" s="111"/>
      <c r="LHS161" s="111"/>
      <c r="LHT161" s="111"/>
      <c r="LHU161" s="111"/>
      <c r="LHV161" s="111"/>
      <c r="LHW161" s="111"/>
      <c r="LHX161" s="111"/>
      <c r="LHY161" s="111"/>
      <c r="LHZ161" s="111"/>
      <c r="LIA161" s="111"/>
      <c r="LIB161" s="111"/>
      <c r="LIC161" s="111"/>
      <c r="LID161" s="111"/>
      <c r="LIE161" s="111"/>
      <c r="LIF161" s="111"/>
      <c r="LIG161" s="111"/>
      <c r="LIH161" s="111"/>
      <c r="LII161" s="111"/>
      <c r="LIJ161" s="111"/>
      <c r="LIK161" s="111"/>
      <c r="LIL161" s="111"/>
      <c r="LIM161" s="111"/>
      <c r="LIN161" s="111"/>
      <c r="LIO161" s="111"/>
      <c r="LIP161" s="111"/>
      <c r="LIQ161" s="111"/>
      <c r="LIR161" s="111"/>
      <c r="LIS161" s="111"/>
      <c r="LIT161" s="111"/>
      <c r="LIU161" s="111"/>
      <c r="LIV161" s="111"/>
      <c r="LIW161" s="111"/>
      <c r="LIX161" s="111"/>
      <c r="LIY161" s="111"/>
      <c r="LIZ161" s="111"/>
      <c r="LJA161" s="111"/>
      <c r="LJB161" s="111"/>
      <c r="LJC161" s="111"/>
      <c r="LJD161" s="111"/>
      <c r="LJE161" s="111"/>
      <c r="LJF161" s="111"/>
      <c r="LJG161" s="111"/>
      <c r="LJH161" s="111"/>
      <c r="LJI161" s="111"/>
      <c r="LJJ161" s="111"/>
      <c r="LJK161" s="111"/>
      <c r="LJL161" s="111"/>
      <c r="LJM161" s="111"/>
      <c r="LJN161" s="111"/>
      <c r="LJO161" s="111"/>
      <c r="LJP161" s="111"/>
      <c r="LJQ161" s="111"/>
      <c r="LJR161" s="111"/>
      <c r="LJS161" s="111"/>
      <c r="LJT161" s="111"/>
      <c r="LJU161" s="111"/>
      <c r="LJV161" s="111"/>
      <c r="LJW161" s="111"/>
      <c r="LJX161" s="111"/>
      <c r="LJY161" s="111"/>
      <c r="LJZ161" s="111"/>
      <c r="LKA161" s="111"/>
      <c r="LKB161" s="111"/>
      <c r="LKC161" s="111"/>
      <c r="LKD161" s="111"/>
      <c r="LKE161" s="111"/>
      <c r="LKF161" s="111"/>
      <c r="LKG161" s="111"/>
      <c r="LKH161" s="111"/>
      <c r="LKI161" s="111"/>
      <c r="LKJ161" s="111"/>
      <c r="LKK161" s="111"/>
      <c r="LKL161" s="111"/>
      <c r="LKM161" s="111"/>
      <c r="LKN161" s="111"/>
      <c r="LKO161" s="111"/>
      <c r="LKP161" s="111"/>
      <c r="LKQ161" s="111"/>
      <c r="LKR161" s="111"/>
      <c r="LKS161" s="111"/>
      <c r="LKT161" s="111"/>
      <c r="LKU161" s="111"/>
      <c r="LKV161" s="111"/>
      <c r="LKW161" s="111"/>
      <c r="LKX161" s="111"/>
      <c r="LKY161" s="111"/>
      <c r="LKZ161" s="111"/>
      <c r="LLA161" s="111"/>
      <c r="LLB161" s="111"/>
      <c r="LLC161" s="111"/>
      <c r="LLD161" s="111"/>
      <c r="LLE161" s="111"/>
      <c r="LLF161" s="111"/>
      <c r="LLG161" s="111"/>
      <c r="LLH161" s="111"/>
      <c r="LLI161" s="111"/>
      <c r="LLJ161" s="111"/>
      <c r="LLK161" s="111"/>
      <c r="LLL161" s="111"/>
      <c r="LLM161" s="111"/>
      <c r="LLN161" s="111"/>
      <c r="LLO161" s="111"/>
      <c r="LLP161" s="111"/>
      <c r="LLQ161" s="111"/>
      <c r="LLR161" s="111"/>
      <c r="LLS161" s="111"/>
      <c r="LLT161" s="111"/>
      <c r="LLU161" s="111"/>
      <c r="LLV161" s="111"/>
      <c r="LLW161" s="111"/>
      <c r="LLX161" s="111"/>
      <c r="LLY161" s="111"/>
      <c r="LLZ161" s="111"/>
      <c r="LMA161" s="111"/>
      <c r="LMB161" s="111"/>
      <c r="LMC161" s="111"/>
      <c r="LMD161" s="111"/>
      <c r="LME161" s="111"/>
      <c r="LMF161" s="111"/>
      <c r="LMG161" s="111"/>
      <c r="LMH161" s="111"/>
      <c r="LMI161" s="111"/>
      <c r="LMJ161" s="111"/>
      <c r="LMK161" s="111"/>
      <c r="LML161" s="111"/>
      <c r="LMM161" s="111"/>
      <c r="LMN161" s="111"/>
      <c r="LMO161" s="111"/>
      <c r="LMP161" s="111"/>
      <c r="LMQ161" s="111"/>
      <c r="LMR161" s="111"/>
      <c r="LMS161" s="111"/>
      <c r="LMT161" s="111"/>
      <c r="LMU161" s="111"/>
      <c r="LMV161" s="111"/>
      <c r="LMW161" s="111"/>
      <c r="LMX161" s="111"/>
      <c r="LMY161" s="111"/>
      <c r="LMZ161" s="111"/>
      <c r="LNA161" s="111"/>
      <c r="LNB161" s="111"/>
      <c r="LNC161" s="111"/>
      <c r="LND161" s="111"/>
      <c r="LNE161" s="111"/>
      <c r="LNF161" s="111"/>
      <c r="LNG161" s="111"/>
      <c r="LNH161" s="111"/>
      <c r="LNI161" s="111"/>
      <c r="LNJ161" s="111"/>
      <c r="LNK161" s="111"/>
      <c r="LNL161" s="111"/>
      <c r="LNM161" s="111"/>
      <c r="LNN161" s="111"/>
      <c r="LNO161" s="111"/>
      <c r="LNP161" s="111"/>
      <c r="LNQ161" s="111"/>
      <c r="LNR161" s="111"/>
      <c r="LNS161" s="111"/>
      <c r="LNT161" s="111"/>
      <c r="LNU161" s="111"/>
      <c r="LNV161" s="111"/>
      <c r="LNW161" s="111"/>
      <c r="LNX161" s="111"/>
      <c r="LNY161" s="111"/>
      <c r="LNZ161" s="111"/>
      <c r="LOA161" s="111"/>
      <c r="LOB161" s="111"/>
      <c r="LOC161" s="111"/>
      <c r="LOD161" s="111"/>
      <c r="LOE161" s="111"/>
      <c r="LOF161" s="111"/>
      <c r="LOG161" s="111"/>
      <c r="LOH161" s="111"/>
      <c r="LOI161" s="111"/>
      <c r="LOJ161" s="111"/>
      <c r="LOK161" s="111"/>
      <c r="LOL161" s="111"/>
      <c r="LOM161" s="111"/>
      <c r="LON161" s="111"/>
      <c r="LOO161" s="111"/>
      <c r="LOP161" s="111"/>
      <c r="LOQ161" s="111"/>
      <c r="LOR161" s="111"/>
      <c r="LOS161" s="111"/>
      <c r="LOT161" s="111"/>
      <c r="LOU161" s="111"/>
      <c r="LOV161" s="111"/>
      <c r="LOW161" s="111"/>
      <c r="LOX161" s="111"/>
      <c r="LOY161" s="111"/>
      <c r="LOZ161" s="111"/>
      <c r="LPA161" s="111"/>
      <c r="LPB161" s="111"/>
      <c r="LPC161" s="111"/>
      <c r="LPD161" s="111"/>
      <c r="LPE161" s="111"/>
      <c r="LPF161" s="111"/>
      <c r="LPG161" s="111"/>
      <c r="LPH161" s="111"/>
      <c r="LPI161" s="111"/>
      <c r="LPJ161" s="111"/>
      <c r="LPK161" s="111"/>
      <c r="LPL161" s="111"/>
      <c r="LPM161" s="111"/>
      <c r="LPN161" s="111"/>
      <c r="LPO161" s="111"/>
      <c r="LPP161" s="111"/>
      <c r="LPQ161" s="111"/>
      <c r="LPR161" s="111"/>
      <c r="LPS161" s="111"/>
      <c r="LPT161" s="111"/>
      <c r="LPU161" s="111"/>
      <c r="LPV161" s="111"/>
      <c r="LPW161" s="111"/>
      <c r="LPX161" s="111"/>
      <c r="LPY161" s="111"/>
      <c r="LPZ161" s="111"/>
      <c r="LQA161" s="111"/>
      <c r="LQB161" s="111"/>
      <c r="LQC161" s="111"/>
      <c r="LQD161" s="111"/>
      <c r="LQE161" s="111"/>
      <c r="LQF161" s="111"/>
      <c r="LQG161" s="111"/>
      <c r="LQH161" s="111"/>
      <c r="LQI161" s="111"/>
      <c r="LQJ161" s="111"/>
      <c r="LQK161" s="111"/>
      <c r="LQL161" s="111"/>
      <c r="LQM161" s="111"/>
      <c r="LQN161" s="111"/>
      <c r="LQO161" s="111"/>
      <c r="LQP161" s="111"/>
      <c r="LQQ161" s="111"/>
      <c r="LQR161" s="111"/>
      <c r="LQS161" s="111"/>
      <c r="LQT161" s="111"/>
      <c r="LQU161" s="111"/>
      <c r="LQV161" s="111"/>
      <c r="LQW161" s="111"/>
      <c r="LQX161" s="111"/>
      <c r="LQY161" s="111"/>
      <c r="LQZ161" s="111"/>
      <c r="LRA161" s="111"/>
      <c r="LRB161" s="111"/>
      <c r="LRC161" s="111"/>
      <c r="LRD161" s="111"/>
      <c r="LRE161" s="111"/>
      <c r="LRF161" s="111"/>
      <c r="LRG161" s="111"/>
      <c r="LRH161" s="111"/>
      <c r="LRI161" s="111"/>
      <c r="LRJ161" s="111"/>
      <c r="LRK161" s="111"/>
      <c r="LRL161" s="111"/>
      <c r="LRM161" s="111"/>
      <c r="LRN161" s="111"/>
      <c r="LRO161" s="111"/>
      <c r="LRP161" s="111"/>
      <c r="LRQ161" s="111"/>
      <c r="LRR161" s="111"/>
      <c r="LRS161" s="111"/>
      <c r="LRT161" s="111"/>
      <c r="LRU161" s="111"/>
      <c r="LRV161" s="111"/>
      <c r="LRW161" s="111"/>
      <c r="LRX161" s="111"/>
      <c r="LRY161" s="111"/>
      <c r="LRZ161" s="111"/>
      <c r="LSA161" s="111"/>
      <c r="LSB161" s="111"/>
      <c r="LSC161" s="111"/>
      <c r="LSD161" s="111"/>
      <c r="LSE161" s="111"/>
      <c r="LSF161" s="111"/>
      <c r="LSG161" s="111"/>
      <c r="LSH161" s="111"/>
      <c r="LSI161" s="111"/>
      <c r="LSJ161" s="111"/>
      <c r="LSK161" s="111"/>
      <c r="LSL161" s="111"/>
      <c r="LSM161" s="111"/>
      <c r="LSN161" s="111"/>
      <c r="LSO161" s="111"/>
      <c r="LSP161" s="111"/>
      <c r="LSQ161" s="111"/>
      <c r="LSR161" s="111"/>
      <c r="LSS161" s="111"/>
      <c r="LST161" s="111"/>
      <c r="LSU161" s="111"/>
      <c r="LSV161" s="111"/>
      <c r="LSW161" s="111"/>
      <c r="LSX161" s="111"/>
      <c r="LSY161" s="111"/>
      <c r="LSZ161" s="111"/>
      <c r="LTA161" s="111"/>
      <c r="LTB161" s="111"/>
      <c r="LTC161" s="111"/>
      <c r="LTD161" s="111"/>
      <c r="LTE161" s="111"/>
      <c r="LTF161" s="111"/>
      <c r="LTG161" s="111"/>
      <c r="LTH161" s="111"/>
      <c r="LTI161" s="111"/>
      <c r="LTJ161" s="111"/>
      <c r="LTK161" s="111"/>
      <c r="LTL161" s="111"/>
      <c r="LTM161" s="111"/>
      <c r="LTN161" s="111"/>
      <c r="LTO161" s="111"/>
      <c r="LTP161" s="111"/>
      <c r="LTQ161" s="111"/>
      <c r="LTR161" s="111"/>
      <c r="LTS161" s="111"/>
      <c r="LTT161" s="111"/>
      <c r="LTU161" s="111"/>
      <c r="LTV161" s="111"/>
      <c r="LTW161" s="111"/>
      <c r="LTX161" s="111"/>
      <c r="LTY161" s="111"/>
      <c r="LTZ161" s="111"/>
      <c r="LUA161" s="111"/>
      <c r="LUB161" s="111"/>
      <c r="LUC161" s="111"/>
      <c r="LUD161" s="111"/>
      <c r="LUE161" s="111"/>
      <c r="LUF161" s="111"/>
      <c r="LUG161" s="111"/>
      <c r="LUH161" s="111"/>
      <c r="LUI161" s="111"/>
      <c r="LUJ161" s="111"/>
      <c r="LUK161" s="111"/>
      <c r="LUL161" s="111"/>
      <c r="LUM161" s="111"/>
      <c r="LUN161" s="111"/>
      <c r="LUO161" s="111"/>
      <c r="LUP161" s="111"/>
      <c r="LUQ161" s="111"/>
      <c r="LUR161" s="111"/>
      <c r="LUS161" s="111"/>
      <c r="LUT161" s="111"/>
      <c r="LUU161" s="111"/>
      <c r="LUV161" s="111"/>
      <c r="LUW161" s="111"/>
      <c r="LUX161" s="111"/>
      <c r="LUY161" s="111"/>
      <c r="LUZ161" s="111"/>
      <c r="LVA161" s="111"/>
      <c r="LVB161" s="111"/>
      <c r="LVC161" s="111"/>
      <c r="LVD161" s="111"/>
      <c r="LVE161" s="111"/>
      <c r="LVF161" s="111"/>
      <c r="LVG161" s="111"/>
      <c r="LVH161" s="111"/>
      <c r="LVI161" s="111"/>
      <c r="LVJ161" s="111"/>
      <c r="LVK161" s="111"/>
      <c r="LVL161" s="111"/>
      <c r="LVM161" s="111"/>
      <c r="LVN161" s="111"/>
      <c r="LVO161" s="111"/>
      <c r="LVP161" s="111"/>
      <c r="LVQ161" s="111"/>
      <c r="LVR161" s="111"/>
      <c r="LVS161" s="111"/>
      <c r="LVT161" s="111"/>
      <c r="LVU161" s="111"/>
      <c r="LVV161" s="111"/>
      <c r="LVW161" s="111"/>
      <c r="LVX161" s="111"/>
      <c r="LVY161" s="111"/>
      <c r="LVZ161" s="111"/>
      <c r="LWA161" s="111"/>
      <c r="LWB161" s="111"/>
      <c r="LWC161" s="111"/>
      <c r="LWD161" s="111"/>
      <c r="LWE161" s="111"/>
      <c r="LWF161" s="111"/>
      <c r="LWG161" s="111"/>
      <c r="LWH161" s="111"/>
      <c r="LWI161" s="111"/>
      <c r="LWJ161" s="111"/>
      <c r="LWK161" s="111"/>
      <c r="LWL161" s="111"/>
      <c r="LWM161" s="111"/>
      <c r="LWN161" s="111"/>
      <c r="LWO161" s="111"/>
      <c r="LWP161" s="111"/>
      <c r="LWQ161" s="111"/>
      <c r="LWR161" s="111"/>
      <c r="LWS161" s="111"/>
      <c r="LWT161" s="111"/>
      <c r="LWU161" s="111"/>
      <c r="LWV161" s="111"/>
      <c r="LWW161" s="111"/>
      <c r="LWX161" s="111"/>
      <c r="LWY161" s="111"/>
      <c r="LWZ161" s="111"/>
      <c r="LXA161" s="111"/>
      <c r="LXB161" s="111"/>
      <c r="LXC161" s="111"/>
      <c r="LXD161" s="111"/>
      <c r="LXE161" s="111"/>
      <c r="LXF161" s="111"/>
      <c r="LXG161" s="111"/>
      <c r="LXH161" s="111"/>
      <c r="LXI161" s="111"/>
      <c r="LXJ161" s="111"/>
      <c r="LXK161" s="111"/>
      <c r="LXL161" s="111"/>
      <c r="LXM161" s="111"/>
      <c r="LXN161" s="111"/>
      <c r="LXO161" s="111"/>
      <c r="LXP161" s="111"/>
      <c r="LXQ161" s="111"/>
      <c r="LXR161" s="111"/>
      <c r="LXS161" s="111"/>
      <c r="LXT161" s="111"/>
      <c r="LXU161" s="111"/>
      <c r="LXV161" s="111"/>
      <c r="LXW161" s="111"/>
      <c r="LXX161" s="111"/>
      <c r="LXY161" s="111"/>
      <c r="LXZ161" s="111"/>
      <c r="LYA161" s="111"/>
      <c r="LYB161" s="111"/>
      <c r="LYC161" s="111"/>
      <c r="LYD161" s="111"/>
      <c r="LYE161" s="111"/>
      <c r="LYF161" s="111"/>
      <c r="LYG161" s="111"/>
      <c r="LYH161" s="111"/>
      <c r="LYI161" s="111"/>
      <c r="LYJ161" s="111"/>
      <c r="LYK161" s="111"/>
      <c r="LYL161" s="111"/>
      <c r="LYM161" s="111"/>
      <c r="LYN161" s="111"/>
      <c r="LYO161" s="111"/>
      <c r="LYP161" s="111"/>
      <c r="LYQ161" s="111"/>
      <c r="LYR161" s="111"/>
      <c r="LYS161" s="111"/>
      <c r="LYT161" s="111"/>
      <c r="LYU161" s="111"/>
      <c r="LYV161" s="111"/>
      <c r="LYW161" s="111"/>
      <c r="LYX161" s="111"/>
      <c r="LYY161" s="111"/>
      <c r="LYZ161" s="111"/>
      <c r="LZA161" s="111"/>
      <c r="LZB161" s="111"/>
      <c r="LZC161" s="111"/>
      <c r="LZD161" s="111"/>
      <c r="LZE161" s="111"/>
      <c r="LZF161" s="111"/>
      <c r="LZG161" s="111"/>
      <c r="LZH161" s="111"/>
      <c r="LZI161" s="111"/>
      <c r="LZJ161" s="111"/>
      <c r="LZK161" s="111"/>
      <c r="LZL161" s="111"/>
      <c r="LZM161" s="111"/>
      <c r="LZN161" s="111"/>
      <c r="LZO161" s="111"/>
      <c r="LZP161" s="111"/>
      <c r="LZQ161" s="111"/>
      <c r="LZR161" s="111"/>
      <c r="LZS161" s="111"/>
      <c r="LZT161" s="111"/>
      <c r="LZU161" s="111"/>
      <c r="LZV161" s="111"/>
      <c r="LZW161" s="111"/>
      <c r="LZX161" s="111"/>
      <c r="LZY161" s="111"/>
      <c r="LZZ161" s="111"/>
      <c r="MAA161" s="111"/>
      <c r="MAB161" s="111"/>
      <c r="MAC161" s="111"/>
      <c r="MAD161" s="111"/>
      <c r="MAE161" s="111"/>
      <c r="MAF161" s="111"/>
      <c r="MAG161" s="111"/>
      <c r="MAH161" s="111"/>
      <c r="MAI161" s="111"/>
      <c r="MAJ161" s="111"/>
      <c r="MAK161" s="111"/>
      <c r="MAL161" s="111"/>
      <c r="MAM161" s="111"/>
      <c r="MAN161" s="111"/>
      <c r="MAO161" s="111"/>
      <c r="MAP161" s="111"/>
      <c r="MAQ161" s="111"/>
      <c r="MAR161" s="111"/>
      <c r="MAS161" s="111"/>
      <c r="MAT161" s="111"/>
      <c r="MAU161" s="111"/>
      <c r="MAV161" s="111"/>
      <c r="MAW161" s="111"/>
      <c r="MAX161" s="111"/>
      <c r="MAY161" s="111"/>
      <c r="MAZ161" s="111"/>
      <c r="MBA161" s="111"/>
      <c r="MBB161" s="111"/>
      <c r="MBC161" s="111"/>
      <c r="MBD161" s="111"/>
      <c r="MBE161" s="111"/>
      <c r="MBF161" s="111"/>
      <c r="MBG161" s="111"/>
      <c r="MBH161" s="111"/>
      <c r="MBI161" s="111"/>
      <c r="MBJ161" s="111"/>
      <c r="MBK161" s="111"/>
      <c r="MBL161" s="111"/>
      <c r="MBM161" s="111"/>
      <c r="MBN161" s="111"/>
      <c r="MBO161" s="111"/>
      <c r="MBP161" s="111"/>
      <c r="MBQ161" s="111"/>
      <c r="MBR161" s="111"/>
      <c r="MBS161" s="111"/>
      <c r="MBT161" s="111"/>
      <c r="MBU161" s="111"/>
      <c r="MBV161" s="111"/>
      <c r="MBW161" s="111"/>
      <c r="MBX161" s="111"/>
      <c r="MBY161" s="111"/>
      <c r="MBZ161" s="111"/>
      <c r="MCA161" s="111"/>
      <c r="MCB161" s="111"/>
      <c r="MCC161" s="111"/>
      <c r="MCD161" s="111"/>
      <c r="MCE161" s="111"/>
      <c r="MCF161" s="111"/>
      <c r="MCG161" s="111"/>
      <c r="MCH161" s="111"/>
      <c r="MCI161" s="111"/>
      <c r="MCJ161" s="111"/>
      <c r="MCK161" s="111"/>
      <c r="MCL161" s="111"/>
      <c r="MCM161" s="111"/>
      <c r="MCN161" s="111"/>
      <c r="MCO161" s="111"/>
      <c r="MCP161" s="111"/>
      <c r="MCQ161" s="111"/>
      <c r="MCR161" s="111"/>
      <c r="MCS161" s="111"/>
      <c r="MCT161" s="111"/>
      <c r="MCU161" s="111"/>
      <c r="MCV161" s="111"/>
      <c r="MCW161" s="111"/>
      <c r="MCX161" s="111"/>
      <c r="MCY161" s="111"/>
      <c r="MCZ161" s="111"/>
      <c r="MDA161" s="111"/>
      <c r="MDB161" s="111"/>
      <c r="MDC161" s="111"/>
      <c r="MDD161" s="111"/>
      <c r="MDE161" s="111"/>
      <c r="MDF161" s="111"/>
      <c r="MDG161" s="111"/>
      <c r="MDH161" s="111"/>
      <c r="MDI161" s="111"/>
      <c r="MDJ161" s="111"/>
      <c r="MDK161" s="111"/>
      <c r="MDL161" s="111"/>
      <c r="MDM161" s="111"/>
      <c r="MDN161" s="111"/>
      <c r="MDO161" s="111"/>
      <c r="MDP161" s="111"/>
      <c r="MDQ161" s="111"/>
      <c r="MDR161" s="111"/>
      <c r="MDS161" s="111"/>
      <c r="MDT161" s="111"/>
      <c r="MDU161" s="111"/>
      <c r="MDV161" s="111"/>
      <c r="MDW161" s="111"/>
      <c r="MDX161" s="111"/>
      <c r="MDY161" s="111"/>
      <c r="MDZ161" s="111"/>
      <c r="MEA161" s="111"/>
      <c r="MEB161" s="111"/>
      <c r="MEC161" s="111"/>
      <c r="MED161" s="111"/>
      <c r="MEE161" s="111"/>
      <c r="MEF161" s="111"/>
      <c r="MEG161" s="111"/>
      <c r="MEH161" s="111"/>
      <c r="MEI161" s="111"/>
      <c r="MEJ161" s="111"/>
      <c r="MEK161" s="111"/>
      <c r="MEL161" s="111"/>
      <c r="MEM161" s="111"/>
      <c r="MEN161" s="111"/>
      <c r="MEO161" s="111"/>
      <c r="MEP161" s="111"/>
      <c r="MEQ161" s="111"/>
      <c r="MER161" s="111"/>
      <c r="MES161" s="111"/>
      <c r="MET161" s="111"/>
      <c r="MEU161" s="111"/>
      <c r="MEV161" s="111"/>
      <c r="MEW161" s="111"/>
      <c r="MEX161" s="111"/>
      <c r="MEY161" s="111"/>
      <c r="MEZ161" s="111"/>
      <c r="MFA161" s="111"/>
      <c r="MFB161" s="111"/>
      <c r="MFC161" s="111"/>
      <c r="MFD161" s="111"/>
      <c r="MFE161" s="111"/>
      <c r="MFF161" s="111"/>
      <c r="MFG161" s="111"/>
      <c r="MFH161" s="111"/>
      <c r="MFI161" s="111"/>
      <c r="MFJ161" s="111"/>
      <c r="MFK161" s="111"/>
      <c r="MFL161" s="111"/>
      <c r="MFM161" s="111"/>
      <c r="MFN161" s="111"/>
      <c r="MFO161" s="111"/>
      <c r="MFP161" s="111"/>
      <c r="MFQ161" s="111"/>
      <c r="MFR161" s="111"/>
      <c r="MFS161" s="111"/>
      <c r="MFT161" s="111"/>
      <c r="MFU161" s="111"/>
      <c r="MFV161" s="111"/>
      <c r="MFW161" s="111"/>
      <c r="MFX161" s="111"/>
      <c r="MFY161" s="111"/>
      <c r="MFZ161" s="111"/>
      <c r="MGA161" s="111"/>
      <c r="MGB161" s="111"/>
      <c r="MGC161" s="111"/>
      <c r="MGD161" s="111"/>
      <c r="MGE161" s="111"/>
      <c r="MGF161" s="111"/>
      <c r="MGG161" s="111"/>
      <c r="MGH161" s="111"/>
      <c r="MGI161" s="111"/>
      <c r="MGJ161" s="111"/>
      <c r="MGK161" s="111"/>
      <c r="MGL161" s="111"/>
      <c r="MGM161" s="111"/>
      <c r="MGN161" s="111"/>
      <c r="MGO161" s="111"/>
      <c r="MGP161" s="111"/>
      <c r="MGQ161" s="111"/>
      <c r="MGR161" s="111"/>
      <c r="MGS161" s="111"/>
      <c r="MGT161" s="111"/>
      <c r="MGU161" s="111"/>
      <c r="MGV161" s="111"/>
      <c r="MGW161" s="111"/>
      <c r="MGX161" s="111"/>
      <c r="MGY161" s="111"/>
      <c r="MGZ161" s="111"/>
      <c r="MHA161" s="111"/>
      <c r="MHB161" s="111"/>
      <c r="MHC161" s="111"/>
      <c r="MHD161" s="111"/>
      <c r="MHE161" s="111"/>
      <c r="MHF161" s="111"/>
      <c r="MHG161" s="111"/>
      <c r="MHH161" s="111"/>
      <c r="MHI161" s="111"/>
      <c r="MHJ161" s="111"/>
      <c r="MHK161" s="111"/>
      <c r="MHL161" s="111"/>
      <c r="MHM161" s="111"/>
      <c r="MHN161" s="111"/>
      <c r="MHO161" s="111"/>
      <c r="MHP161" s="111"/>
      <c r="MHQ161" s="111"/>
      <c r="MHR161" s="111"/>
      <c r="MHS161" s="111"/>
      <c r="MHT161" s="111"/>
      <c r="MHU161" s="111"/>
      <c r="MHV161" s="111"/>
      <c r="MHW161" s="111"/>
      <c r="MHX161" s="111"/>
      <c r="MHY161" s="111"/>
      <c r="MHZ161" s="111"/>
      <c r="MIA161" s="111"/>
      <c r="MIB161" s="111"/>
      <c r="MIC161" s="111"/>
      <c r="MID161" s="111"/>
      <c r="MIE161" s="111"/>
      <c r="MIF161" s="111"/>
      <c r="MIG161" s="111"/>
      <c r="MIH161" s="111"/>
      <c r="MII161" s="111"/>
      <c r="MIJ161" s="111"/>
      <c r="MIK161" s="111"/>
      <c r="MIL161" s="111"/>
      <c r="MIM161" s="111"/>
      <c r="MIN161" s="111"/>
      <c r="MIO161" s="111"/>
      <c r="MIP161" s="111"/>
      <c r="MIQ161" s="111"/>
      <c r="MIR161" s="111"/>
      <c r="MIS161" s="111"/>
      <c r="MIT161" s="111"/>
      <c r="MIU161" s="111"/>
      <c r="MIV161" s="111"/>
      <c r="MIW161" s="111"/>
      <c r="MIX161" s="111"/>
      <c r="MIY161" s="111"/>
      <c r="MIZ161" s="111"/>
      <c r="MJA161" s="111"/>
      <c r="MJB161" s="111"/>
      <c r="MJC161" s="111"/>
      <c r="MJD161" s="111"/>
      <c r="MJE161" s="111"/>
      <c r="MJF161" s="111"/>
      <c r="MJG161" s="111"/>
      <c r="MJH161" s="111"/>
      <c r="MJI161" s="111"/>
      <c r="MJJ161" s="111"/>
      <c r="MJK161" s="111"/>
      <c r="MJL161" s="111"/>
      <c r="MJM161" s="111"/>
      <c r="MJN161" s="111"/>
      <c r="MJO161" s="111"/>
      <c r="MJP161" s="111"/>
      <c r="MJQ161" s="111"/>
      <c r="MJR161" s="111"/>
      <c r="MJS161" s="111"/>
      <c r="MJT161" s="111"/>
      <c r="MJU161" s="111"/>
      <c r="MJV161" s="111"/>
      <c r="MJW161" s="111"/>
      <c r="MJX161" s="111"/>
      <c r="MJY161" s="111"/>
      <c r="MJZ161" s="111"/>
      <c r="MKA161" s="111"/>
      <c r="MKB161" s="111"/>
      <c r="MKC161" s="111"/>
      <c r="MKD161" s="111"/>
      <c r="MKE161" s="111"/>
      <c r="MKF161" s="111"/>
      <c r="MKG161" s="111"/>
      <c r="MKH161" s="111"/>
      <c r="MKI161" s="111"/>
      <c r="MKJ161" s="111"/>
      <c r="MKK161" s="111"/>
      <c r="MKL161" s="111"/>
      <c r="MKM161" s="111"/>
      <c r="MKN161" s="111"/>
      <c r="MKO161" s="111"/>
      <c r="MKP161" s="111"/>
      <c r="MKQ161" s="111"/>
      <c r="MKR161" s="111"/>
      <c r="MKS161" s="111"/>
      <c r="MKT161" s="111"/>
      <c r="MKU161" s="111"/>
      <c r="MKV161" s="111"/>
      <c r="MKW161" s="111"/>
      <c r="MKX161" s="111"/>
      <c r="MKY161" s="111"/>
      <c r="MKZ161" s="111"/>
      <c r="MLA161" s="111"/>
      <c r="MLB161" s="111"/>
      <c r="MLC161" s="111"/>
      <c r="MLD161" s="111"/>
      <c r="MLE161" s="111"/>
      <c r="MLF161" s="111"/>
      <c r="MLG161" s="111"/>
      <c r="MLH161" s="111"/>
      <c r="MLI161" s="111"/>
      <c r="MLJ161" s="111"/>
      <c r="MLK161" s="111"/>
      <c r="MLL161" s="111"/>
      <c r="MLM161" s="111"/>
      <c r="MLN161" s="111"/>
      <c r="MLO161" s="111"/>
      <c r="MLP161" s="111"/>
      <c r="MLQ161" s="111"/>
      <c r="MLR161" s="111"/>
      <c r="MLS161" s="111"/>
      <c r="MLT161" s="111"/>
      <c r="MLU161" s="111"/>
      <c r="MLV161" s="111"/>
      <c r="MLW161" s="111"/>
      <c r="MLX161" s="111"/>
      <c r="MLY161" s="111"/>
      <c r="MLZ161" s="111"/>
      <c r="MMA161" s="111"/>
      <c r="MMB161" s="111"/>
      <c r="MMC161" s="111"/>
      <c r="MMD161" s="111"/>
      <c r="MME161" s="111"/>
      <c r="MMF161" s="111"/>
      <c r="MMG161" s="111"/>
      <c r="MMH161" s="111"/>
      <c r="MMI161" s="111"/>
      <c r="MMJ161" s="111"/>
      <c r="MMK161" s="111"/>
      <c r="MML161" s="111"/>
      <c r="MMM161" s="111"/>
      <c r="MMN161" s="111"/>
      <c r="MMO161" s="111"/>
      <c r="MMP161" s="111"/>
      <c r="MMQ161" s="111"/>
      <c r="MMR161" s="111"/>
      <c r="MMS161" s="111"/>
      <c r="MMT161" s="111"/>
      <c r="MMU161" s="111"/>
      <c r="MMV161" s="111"/>
      <c r="MMW161" s="111"/>
      <c r="MMX161" s="111"/>
      <c r="MMY161" s="111"/>
      <c r="MMZ161" s="111"/>
      <c r="MNA161" s="111"/>
      <c r="MNB161" s="111"/>
      <c r="MNC161" s="111"/>
      <c r="MND161" s="111"/>
      <c r="MNE161" s="111"/>
      <c r="MNF161" s="111"/>
      <c r="MNG161" s="111"/>
      <c r="MNH161" s="111"/>
      <c r="MNI161" s="111"/>
      <c r="MNJ161" s="111"/>
      <c r="MNK161" s="111"/>
      <c r="MNL161" s="111"/>
      <c r="MNM161" s="111"/>
      <c r="MNN161" s="111"/>
      <c r="MNO161" s="111"/>
      <c r="MNP161" s="111"/>
      <c r="MNQ161" s="111"/>
      <c r="MNR161" s="111"/>
      <c r="MNS161" s="111"/>
      <c r="MNT161" s="111"/>
      <c r="MNU161" s="111"/>
      <c r="MNV161" s="111"/>
      <c r="MNW161" s="111"/>
      <c r="MNX161" s="111"/>
      <c r="MNY161" s="111"/>
      <c r="MNZ161" s="111"/>
      <c r="MOA161" s="111"/>
      <c r="MOB161" s="111"/>
      <c r="MOC161" s="111"/>
      <c r="MOD161" s="111"/>
      <c r="MOE161" s="111"/>
      <c r="MOF161" s="111"/>
      <c r="MOG161" s="111"/>
      <c r="MOH161" s="111"/>
      <c r="MOI161" s="111"/>
      <c r="MOJ161" s="111"/>
      <c r="MOK161" s="111"/>
      <c r="MOL161" s="111"/>
      <c r="MOM161" s="111"/>
      <c r="MON161" s="111"/>
      <c r="MOO161" s="111"/>
      <c r="MOP161" s="111"/>
      <c r="MOQ161" s="111"/>
      <c r="MOR161" s="111"/>
      <c r="MOS161" s="111"/>
      <c r="MOT161" s="111"/>
      <c r="MOU161" s="111"/>
      <c r="MOV161" s="111"/>
      <c r="MOW161" s="111"/>
      <c r="MOX161" s="111"/>
      <c r="MOY161" s="111"/>
      <c r="MOZ161" s="111"/>
      <c r="MPA161" s="111"/>
      <c r="MPB161" s="111"/>
      <c r="MPC161" s="111"/>
      <c r="MPD161" s="111"/>
      <c r="MPE161" s="111"/>
      <c r="MPF161" s="111"/>
      <c r="MPG161" s="111"/>
      <c r="MPH161" s="111"/>
      <c r="MPI161" s="111"/>
      <c r="MPJ161" s="111"/>
      <c r="MPK161" s="111"/>
      <c r="MPL161" s="111"/>
      <c r="MPM161" s="111"/>
      <c r="MPN161" s="111"/>
      <c r="MPO161" s="111"/>
      <c r="MPP161" s="111"/>
      <c r="MPQ161" s="111"/>
      <c r="MPR161" s="111"/>
      <c r="MPS161" s="111"/>
      <c r="MPT161" s="111"/>
      <c r="MPU161" s="111"/>
      <c r="MPV161" s="111"/>
      <c r="MPW161" s="111"/>
      <c r="MPX161" s="111"/>
      <c r="MPY161" s="111"/>
      <c r="MPZ161" s="111"/>
      <c r="MQA161" s="111"/>
      <c r="MQB161" s="111"/>
      <c r="MQC161" s="111"/>
      <c r="MQD161" s="111"/>
      <c r="MQE161" s="111"/>
      <c r="MQF161" s="111"/>
      <c r="MQG161" s="111"/>
      <c r="MQH161" s="111"/>
      <c r="MQI161" s="111"/>
      <c r="MQJ161" s="111"/>
      <c r="MQK161" s="111"/>
      <c r="MQL161" s="111"/>
      <c r="MQM161" s="111"/>
      <c r="MQN161" s="111"/>
      <c r="MQO161" s="111"/>
      <c r="MQP161" s="111"/>
      <c r="MQQ161" s="111"/>
      <c r="MQR161" s="111"/>
      <c r="MQS161" s="111"/>
      <c r="MQT161" s="111"/>
      <c r="MQU161" s="111"/>
      <c r="MQV161" s="111"/>
      <c r="MQW161" s="111"/>
      <c r="MQX161" s="111"/>
      <c r="MQY161" s="111"/>
      <c r="MQZ161" s="111"/>
      <c r="MRA161" s="111"/>
      <c r="MRB161" s="111"/>
      <c r="MRC161" s="111"/>
      <c r="MRD161" s="111"/>
      <c r="MRE161" s="111"/>
      <c r="MRF161" s="111"/>
      <c r="MRG161" s="111"/>
      <c r="MRH161" s="111"/>
      <c r="MRI161" s="111"/>
      <c r="MRJ161" s="111"/>
      <c r="MRK161" s="111"/>
      <c r="MRL161" s="111"/>
      <c r="MRM161" s="111"/>
      <c r="MRN161" s="111"/>
      <c r="MRO161" s="111"/>
      <c r="MRP161" s="111"/>
      <c r="MRQ161" s="111"/>
      <c r="MRR161" s="111"/>
      <c r="MRS161" s="111"/>
      <c r="MRT161" s="111"/>
      <c r="MRU161" s="111"/>
      <c r="MRV161" s="111"/>
      <c r="MRW161" s="111"/>
      <c r="MRX161" s="111"/>
      <c r="MRY161" s="111"/>
      <c r="MRZ161" s="111"/>
      <c r="MSA161" s="111"/>
      <c r="MSB161" s="111"/>
      <c r="MSC161" s="111"/>
      <c r="MSD161" s="111"/>
      <c r="MSE161" s="111"/>
      <c r="MSF161" s="111"/>
      <c r="MSG161" s="111"/>
      <c r="MSH161" s="111"/>
      <c r="MSI161" s="111"/>
      <c r="MSJ161" s="111"/>
      <c r="MSK161" s="111"/>
      <c r="MSL161" s="111"/>
      <c r="MSM161" s="111"/>
      <c r="MSN161" s="111"/>
      <c r="MSO161" s="111"/>
      <c r="MSP161" s="111"/>
      <c r="MSQ161" s="111"/>
      <c r="MSR161" s="111"/>
      <c r="MSS161" s="111"/>
      <c r="MST161" s="111"/>
      <c r="MSU161" s="111"/>
      <c r="MSV161" s="111"/>
      <c r="MSW161" s="111"/>
      <c r="MSX161" s="111"/>
      <c r="MSY161" s="111"/>
      <c r="MSZ161" s="111"/>
      <c r="MTA161" s="111"/>
      <c r="MTB161" s="111"/>
      <c r="MTC161" s="111"/>
      <c r="MTD161" s="111"/>
      <c r="MTE161" s="111"/>
      <c r="MTF161" s="111"/>
      <c r="MTG161" s="111"/>
      <c r="MTH161" s="111"/>
      <c r="MTI161" s="111"/>
      <c r="MTJ161" s="111"/>
      <c r="MTK161" s="111"/>
      <c r="MTL161" s="111"/>
      <c r="MTM161" s="111"/>
      <c r="MTN161" s="111"/>
      <c r="MTO161" s="111"/>
      <c r="MTP161" s="111"/>
      <c r="MTQ161" s="111"/>
      <c r="MTR161" s="111"/>
      <c r="MTS161" s="111"/>
      <c r="MTT161" s="111"/>
      <c r="MTU161" s="111"/>
      <c r="MTV161" s="111"/>
      <c r="MTW161" s="111"/>
      <c r="MTX161" s="111"/>
      <c r="MTY161" s="111"/>
      <c r="MTZ161" s="111"/>
      <c r="MUA161" s="111"/>
      <c r="MUB161" s="111"/>
      <c r="MUC161" s="111"/>
      <c r="MUD161" s="111"/>
      <c r="MUE161" s="111"/>
      <c r="MUF161" s="111"/>
      <c r="MUG161" s="111"/>
      <c r="MUH161" s="111"/>
      <c r="MUI161" s="111"/>
      <c r="MUJ161" s="111"/>
      <c r="MUK161" s="111"/>
      <c r="MUL161" s="111"/>
      <c r="MUM161" s="111"/>
      <c r="MUN161" s="111"/>
      <c r="MUO161" s="111"/>
      <c r="MUP161" s="111"/>
      <c r="MUQ161" s="111"/>
      <c r="MUR161" s="111"/>
      <c r="MUS161" s="111"/>
      <c r="MUT161" s="111"/>
      <c r="MUU161" s="111"/>
      <c r="MUV161" s="111"/>
      <c r="MUW161" s="111"/>
      <c r="MUX161" s="111"/>
      <c r="MUY161" s="111"/>
      <c r="MUZ161" s="111"/>
      <c r="MVA161" s="111"/>
      <c r="MVB161" s="111"/>
      <c r="MVC161" s="111"/>
      <c r="MVD161" s="111"/>
      <c r="MVE161" s="111"/>
      <c r="MVF161" s="111"/>
      <c r="MVG161" s="111"/>
      <c r="MVH161" s="111"/>
      <c r="MVI161" s="111"/>
      <c r="MVJ161" s="111"/>
      <c r="MVK161" s="111"/>
      <c r="MVL161" s="111"/>
      <c r="MVM161" s="111"/>
      <c r="MVN161" s="111"/>
      <c r="MVO161" s="111"/>
      <c r="MVP161" s="111"/>
      <c r="MVQ161" s="111"/>
      <c r="MVR161" s="111"/>
      <c r="MVS161" s="111"/>
      <c r="MVT161" s="111"/>
      <c r="MVU161" s="111"/>
      <c r="MVV161" s="111"/>
      <c r="MVW161" s="111"/>
      <c r="MVX161" s="111"/>
      <c r="MVY161" s="111"/>
      <c r="MVZ161" s="111"/>
      <c r="MWA161" s="111"/>
      <c r="MWB161" s="111"/>
      <c r="MWC161" s="111"/>
      <c r="MWD161" s="111"/>
      <c r="MWE161" s="111"/>
      <c r="MWF161" s="111"/>
      <c r="MWG161" s="111"/>
      <c r="MWH161" s="111"/>
      <c r="MWI161" s="111"/>
      <c r="MWJ161" s="111"/>
      <c r="MWK161" s="111"/>
      <c r="MWL161" s="111"/>
      <c r="MWM161" s="111"/>
      <c r="MWN161" s="111"/>
      <c r="MWO161" s="111"/>
      <c r="MWP161" s="111"/>
      <c r="MWQ161" s="111"/>
      <c r="MWR161" s="111"/>
      <c r="MWS161" s="111"/>
      <c r="MWT161" s="111"/>
      <c r="MWU161" s="111"/>
      <c r="MWV161" s="111"/>
      <c r="MWW161" s="111"/>
      <c r="MWX161" s="111"/>
      <c r="MWY161" s="111"/>
      <c r="MWZ161" s="111"/>
      <c r="MXA161" s="111"/>
      <c r="MXB161" s="111"/>
      <c r="MXC161" s="111"/>
      <c r="MXD161" s="111"/>
      <c r="MXE161" s="111"/>
      <c r="MXF161" s="111"/>
      <c r="MXG161" s="111"/>
      <c r="MXH161" s="111"/>
      <c r="MXI161" s="111"/>
      <c r="MXJ161" s="111"/>
      <c r="MXK161" s="111"/>
      <c r="MXL161" s="111"/>
      <c r="MXM161" s="111"/>
      <c r="MXN161" s="111"/>
      <c r="MXO161" s="111"/>
      <c r="MXP161" s="111"/>
      <c r="MXQ161" s="111"/>
      <c r="MXR161" s="111"/>
      <c r="MXS161" s="111"/>
      <c r="MXT161" s="111"/>
      <c r="MXU161" s="111"/>
      <c r="MXV161" s="111"/>
      <c r="MXW161" s="111"/>
      <c r="MXX161" s="111"/>
      <c r="MXY161" s="111"/>
      <c r="MXZ161" s="111"/>
      <c r="MYA161" s="111"/>
      <c r="MYB161" s="111"/>
      <c r="MYC161" s="111"/>
      <c r="MYD161" s="111"/>
      <c r="MYE161" s="111"/>
      <c r="MYF161" s="111"/>
      <c r="MYG161" s="111"/>
      <c r="MYH161" s="111"/>
      <c r="MYI161" s="111"/>
      <c r="MYJ161" s="111"/>
      <c r="MYK161" s="111"/>
      <c r="MYL161" s="111"/>
      <c r="MYM161" s="111"/>
      <c r="MYN161" s="111"/>
      <c r="MYO161" s="111"/>
      <c r="MYP161" s="111"/>
      <c r="MYQ161" s="111"/>
      <c r="MYR161" s="111"/>
      <c r="MYS161" s="111"/>
      <c r="MYT161" s="111"/>
      <c r="MYU161" s="111"/>
      <c r="MYV161" s="111"/>
      <c r="MYW161" s="111"/>
      <c r="MYX161" s="111"/>
      <c r="MYY161" s="111"/>
      <c r="MYZ161" s="111"/>
      <c r="MZA161" s="111"/>
      <c r="MZB161" s="111"/>
      <c r="MZC161" s="111"/>
      <c r="MZD161" s="111"/>
      <c r="MZE161" s="111"/>
      <c r="MZF161" s="111"/>
      <c r="MZG161" s="111"/>
      <c r="MZH161" s="111"/>
      <c r="MZI161" s="111"/>
      <c r="MZJ161" s="111"/>
      <c r="MZK161" s="111"/>
      <c r="MZL161" s="111"/>
      <c r="MZM161" s="111"/>
      <c r="MZN161" s="111"/>
      <c r="MZO161" s="111"/>
      <c r="MZP161" s="111"/>
      <c r="MZQ161" s="111"/>
      <c r="MZR161" s="111"/>
      <c r="MZS161" s="111"/>
      <c r="MZT161" s="111"/>
      <c r="MZU161" s="111"/>
      <c r="MZV161" s="111"/>
      <c r="MZW161" s="111"/>
      <c r="MZX161" s="111"/>
      <c r="MZY161" s="111"/>
      <c r="MZZ161" s="111"/>
      <c r="NAA161" s="111"/>
      <c r="NAB161" s="111"/>
      <c r="NAC161" s="111"/>
      <c r="NAD161" s="111"/>
      <c r="NAE161" s="111"/>
      <c r="NAF161" s="111"/>
      <c r="NAG161" s="111"/>
      <c r="NAH161" s="111"/>
      <c r="NAI161" s="111"/>
      <c r="NAJ161" s="111"/>
      <c r="NAK161" s="111"/>
      <c r="NAL161" s="111"/>
      <c r="NAM161" s="111"/>
      <c r="NAN161" s="111"/>
      <c r="NAO161" s="111"/>
      <c r="NAP161" s="111"/>
      <c r="NAQ161" s="111"/>
      <c r="NAR161" s="111"/>
      <c r="NAS161" s="111"/>
      <c r="NAT161" s="111"/>
      <c r="NAU161" s="111"/>
      <c r="NAV161" s="111"/>
      <c r="NAW161" s="111"/>
      <c r="NAX161" s="111"/>
      <c r="NAY161" s="111"/>
      <c r="NAZ161" s="111"/>
      <c r="NBA161" s="111"/>
      <c r="NBB161" s="111"/>
      <c r="NBC161" s="111"/>
      <c r="NBD161" s="111"/>
      <c r="NBE161" s="111"/>
      <c r="NBF161" s="111"/>
      <c r="NBG161" s="111"/>
      <c r="NBH161" s="111"/>
      <c r="NBI161" s="111"/>
      <c r="NBJ161" s="111"/>
      <c r="NBK161" s="111"/>
      <c r="NBL161" s="111"/>
      <c r="NBM161" s="111"/>
      <c r="NBN161" s="111"/>
      <c r="NBO161" s="111"/>
      <c r="NBP161" s="111"/>
      <c r="NBQ161" s="111"/>
      <c r="NBR161" s="111"/>
      <c r="NBS161" s="111"/>
      <c r="NBT161" s="111"/>
      <c r="NBU161" s="111"/>
      <c r="NBV161" s="111"/>
      <c r="NBW161" s="111"/>
      <c r="NBX161" s="111"/>
      <c r="NBY161" s="111"/>
      <c r="NBZ161" s="111"/>
      <c r="NCA161" s="111"/>
      <c r="NCB161" s="111"/>
      <c r="NCC161" s="111"/>
      <c r="NCD161" s="111"/>
      <c r="NCE161" s="111"/>
      <c r="NCF161" s="111"/>
      <c r="NCG161" s="111"/>
      <c r="NCH161" s="111"/>
      <c r="NCI161" s="111"/>
      <c r="NCJ161" s="111"/>
      <c r="NCK161" s="111"/>
      <c r="NCL161" s="111"/>
      <c r="NCM161" s="111"/>
      <c r="NCN161" s="111"/>
      <c r="NCO161" s="111"/>
      <c r="NCP161" s="111"/>
      <c r="NCQ161" s="111"/>
      <c r="NCR161" s="111"/>
      <c r="NCS161" s="111"/>
      <c r="NCT161" s="111"/>
      <c r="NCU161" s="111"/>
      <c r="NCV161" s="111"/>
      <c r="NCW161" s="111"/>
      <c r="NCX161" s="111"/>
      <c r="NCY161" s="111"/>
      <c r="NCZ161" s="111"/>
      <c r="NDA161" s="111"/>
      <c r="NDB161" s="111"/>
      <c r="NDC161" s="111"/>
      <c r="NDD161" s="111"/>
      <c r="NDE161" s="111"/>
      <c r="NDF161" s="111"/>
      <c r="NDG161" s="111"/>
      <c r="NDH161" s="111"/>
      <c r="NDI161" s="111"/>
      <c r="NDJ161" s="111"/>
      <c r="NDK161" s="111"/>
      <c r="NDL161" s="111"/>
      <c r="NDM161" s="111"/>
      <c r="NDN161" s="111"/>
      <c r="NDO161" s="111"/>
      <c r="NDP161" s="111"/>
      <c r="NDQ161" s="111"/>
      <c r="NDR161" s="111"/>
      <c r="NDS161" s="111"/>
      <c r="NDT161" s="111"/>
      <c r="NDU161" s="111"/>
      <c r="NDV161" s="111"/>
      <c r="NDW161" s="111"/>
      <c r="NDX161" s="111"/>
      <c r="NDY161" s="111"/>
      <c r="NDZ161" s="111"/>
      <c r="NEA161" s="111"/>
      <c r="NEB161" s="111"/>
      <c r="NEC161" s="111"/>
      <c r="NED161" s="111"/>
      <c r="NEE161" s="111"/>
      <c r="NEF161" s="111"/>
      <c r="NEG161" s="111"/>
      <c r="NEH161" s="111"/>
      <c r="NEI161" s="111"/>
      <c r="NEJ161" s="111"/>
      <c r="NEK161" s="111"/>
      <c r="NEL161" s="111"/>
      <c r="NEM161" s="111"/>
      <c r="NEN161" s="111"/>
      <c r="NEO161" s="111"/>
      <c r="NEP161" s="111"/>
      <c r="NEQ161" s="111"/>
      <c r="NER161" s="111"/>
      <c r="NES161" s="111"/>
      <c r="NET161" s="111"/>
      <c r="NEU161" s="111"/>
      <c r="NEV161" s="111"/>
      <c r="NEW161" s="111"/>
      <c r="NEX161" s="111"/>
      <c r="NEY161" s="111"/>
      <c r="NEZ161" s="111"/>
      <c r="NFA161" s="111"/>
      <c r="NFB161" s="111"/>
      <c r="NFC161" s="111"/>
      <c r="NFD161" s="111"/>
      <c r="NFE161" s="111"/>
      <c r="NFF161" s="111"/>
      <c r="NFG161" s="111"/>
      <c r="NFH161" s="111"/>
      <c r="NFI161" s="111"/>
      <c r="NFJ161" s="111"/>
      <c r="NFK161" s="111"/>
      <c r="NFL161" s="111"/>
      <c r="NFM161" s="111"/>
      <c r="NFN161" s="111"/>
      <c r="NFO161" s="111"/>
      <c r="NFP161" s="111"/>
      <c r="NFQ161" s="111"/>
      <c r="NFR161" s="111"/>
      <c r="NFS161" s="111"/>
      <c r="NFT161" s="111"/>
      <c r="NFU161" s="111"/>
      <c r="NFV161" s="111"/>
      <c r="NFW161" s="111"/>
      <c r="NFX161" s="111"/>
      <c r="NFY161" s="111"/>
      <c r="NFZ161" s="111"/>
      <c r="NGA161" s="111"/>
      <c r="NGB161" s="111"/>
      <c r="NGC161" s="111"/>
      <c r="NGD161" s="111"/>
      <c r="NGE161" s="111"/>
      <c r="NGF161" s="111"/>
      <c r="NGG161" s="111"/>
      <c r="NGH161" s="111"/>
      <c r="NGI161" s="111"/>
      <c r="NGJ161" s="111"/>
      <c r="NGK161" s="111"/>
      <c r="NGL161" s="111"/>
      <c r="NGM161" s="111"/>
      <c r="NGN161" s="111"/>
      <c r="NGO161" s="111"/>
      <c r="NGP161" s="111"/>
      <c r="NGQ161" s="111"/>
      <c r="NGR161" s="111"/>
      <c r="NGS161" s="111"/>
      <c r="NGT161" s="111"/>
      <c r="NGU161" s="111"/>
      <c r="NGV161" s="111"/>
      <c r="NGW161" s="111"/>
      <c r="NGX161" s="111"/>
      <c r="NGY161" s="111"/>
      <c r="NGZ161" s="111"/>
      <c r="NHA161" s="111"/>
      <c r="NHB161" s="111"/>
      <c r="NHC161" s="111"/>
      <c r="NHD161" s="111"/>
      <c r="NHE161" s="111"/>
      <c r="NHF161" s="111"/>
      <c r="NHG161" s="111"/>
      <c r="NHH161" s="111"/>
      <c r="NHI161" s="111"/>
      <c r="NHJ161" s="111"/>
      <c r="NHK161" s="111"/>
      <c r="NHL161" s="111"/>
      <c r="NHM161" s="111"/>
      <c r="NHN161" s="111"/>
      <c r="NHO161" s="111"/>
      <c r="NHP161" s="111"/>
      <c r="NHQ161" s="111"/>
      <c r="NHR161" s="111"/>
      <c r="NHS161" s="111"/>
      <c r="NHT161" s="111"/>
      <c r="NHU161" s="111"/>
      <c r="NHV161" s="111"/>
      <c r="NHW161" s="111"/>
      <c r="NHX161" s="111"/>
      <c r="NHY161" s="111"/>
      <c r="NHZ161" s="111"/>
      <c r="NIA161" s="111"/>
      <c r="NIB161" s="111"/>
      <c r="NIC161" s="111"/>
      <c r="NID161" s="111"/>
      <c r="NIE161" s="111"/>
      <c r="NIF161" s="111"/>
      <c r="NIG161" s="111"/>
      <c r="NIH161" s="111"/>
      <c r="NII161" s="111"/>
      <c r="NIJ161" s="111"/>
      <c r="NIK161" s="111"/>
      <c r="NIL161" s="111"/>
      <c r="NIM161" s="111"/>
      <c r="NIN161" s="111"/>
      <c r="NIO161" s="111"/>
      <c r="NIP161" s="111"/>
      <c r="NIQ161" s="111"/>
      <c r="NIR161" s="111"/>
      <c r="NIS161" s="111"/>
      <c r="NIT161" s="111"/>
      <c r="NIU161" s="111"/>
      <c r="NIV161" s="111"/>
      <c r="NIW161" s="111"/>
      <c r="NIX161" s="111"/>
      <c r="NIY161" s="111"/>
      <c r="NIZ161" s="111"/>
      <c r="NJA161" s="111"/>
      <c r="NJB161" s="111"/>
      <c r="NJC161" s="111"/>
      <c r="NJD161" s="111"/>
      <c r="NJE161" s="111"/>
      <c r="NJF161" s="111"/>
      <c r="NJG161" s="111"/>
      <c r="NJH161" s="111"/>
      <c r="NJI161" s="111"/>
      <c r="NJJ161" s="111"/>
      <c r="NJK161" s="111"/>
      <c r="NJL161" s="111"/>
      <c r="NJM161" s="111"/>
      <c r="NJN161" s="111"/>
      <c r="NJO161" s="111"/>
      <c r="NJP161" s="111"/>
      <c r="NJQ161" s="111"/>
      <c r="NJR161" s="111"/>
      <c r="NJS161" s="111"/>
      <c r="NJT161" s="111"/>
      <c r="NJU161" s="111"/>
      <c r="NJV161" s="111"/>
      <c r="NJW161" s="111"/>
      <c r="NJX161" s="111"/>
      <c r="NJY161" s="111"/>
      <c r="NJZ161" s="111"/>
      <c r="NKA161" s="111"/>
      <c r="NKB161" s="111"/>
      <c r="NKC161" s="111"/>
      <c r="NKD161" s="111"/>
      <c r="NKE161" s="111"/>
      <c r="NKF161" s="111"/>
      <c r="NKG161" s="111"/>
      <c r="NKH161" s="111"/>
      <c r="NKI161" s="111"/>
      <c r="NKJ161" s="111"/>
      <c r="NKK161" s="111"/>
      <c r="NKL161" s="111"/>
      <c r="NKM161" s="111"/>
      <c r="NKN161" s="111"/>
      <c r="NKO161" s="111"/>
      <c r="NKP161" s="111"/>
      <c r="NKQ161" s="111"/>
      <c r="NKR161" s="111"/>
      <c r="NKS161" s="111"/>
      <c r="NKT161" s="111"/>
      <c r="NKU161" s="111"/>
      <c r="NKV161" s="111"/>
      <c r="NKW161" s="111"/>
      <c r="NKX161" s="111"/>
      <c r="NKY161" s="111"/>
      <c r="NKZ161" s="111"/>
      <c r="NLA161" s="111"/>
      <c r="NLB161" s="111"/>
      <c r="NLC161" s="111"/>
      <c r="NLD161" s="111"/>
      <c r="NLE161" s="111"/>
      <c r="NLF161" s="111"/>
      <c r="NLG161" s="111"/>
      <c r="NLH161" s="111"/>
      <c r="NLI161" s="111"/>
      <c r="NLJ161" s="111"/>
      <c r="NLK161" s="111"/>
      <c r="NLL161" s="111"/>
      <c r="NLM161" s="111"/>
      <c r="NLN161" s="111"/>
      <c r="NLO161" s="111"/>
      <c r="NLP161" s="111"/>
      <c r="NLQ161" s="111"/>
      <c r="NLR161" s="111"/>
      <c r="NLS161" s="111"/>
      <c r="NLT161" s="111"/>
      <c r="NLU161" s="111"/>
      <c r="NLV161" s="111"/>
      <c r="NLW161" s="111"/>
      <c r="NLX161" s="111"/>
      <c r="NLY161" s="111"/>
      <c r="NLZ161" s="111"/>
      <c r="NMA161" s="111"/>
      <c r="NMB161" s="111"/>
      <c r="NMC161" s="111"/>
      <c r="NMD161" s="111"/>
      <c r="NME161" s="111"/>
      <c r="NMF161" s="111"/>
      <c r="NMG161" s="111"/>
      <c r="NMH161" s="111"/>
      <c r="NMI161" s="111"/>
      <c r="NMJ161" s="111"/>
      <c r="NMK161" s="111"/>
      <c r="NML161" s="111"/>
      <c r="NMM161" s="111"/>
      <c r="NMN161" s="111"/>
      <c r="NMO161" s="111"/>
      <c r="NMP161" s="111"/>
      <c r="NMQ161" s="111"/>
      <c r="NMR161" s="111"/>
      <c r="NMS161" s="111"/>
      <c r="NMT161" s="111"/>
      <c r="NMU161" s="111"/>
      <c r="NMV161" s="111"/>
      <c r="NMW161" s="111"/>
      <c r="NMX161" s="111"/>
      <c r="NMY161" s="111"/>
      <c r="NMZ161" s="111"/>
      <c r="NNA161" s="111"/>
      <c r="NNB161" s="111"/>
      <c r="NNC161" s="111"/>
      <c r="NND161" s="111"/>
      <c r="NNE161" s="111"/>
      <c r="NNF161" s="111"/>
      <c r="NNG161" s="111"/>
      <c r="NNH161" s="111"/>
      <c r="NNI161" s="111"/>
      <c r="NNJ161" s="111"/>
      <c r="NNK161" s="111"/>
      <c r="NNL161" s="111"/>
      <c r="NNM161" s="111"/>
      <c r="NNN161" s="111"/>
      <c r="NNO161" s="111"/>
      <c r="NNP161" s="111"/>
      <c r="NNQ161" s="111"/>
      <c r="NNR161" s="111"/>
      <c r="NNS161" s="111"/>
      <c r="NNT161" s="111"/>
      <c r="NNU161" s="111"/>
      <c r="NNV161" s="111"/>
      <c r="NNW161" s="111"/>
      <c r="NNX161" s="111"/>
      <c r="NNY161" s="111"/>
      <c r="NNZ161" s="111"/>
      <c r="NOA161" s="111"/>
      <c r="NOB161" s="111"/>
      <c r="NOC161" s="111"/>
      <c r="NOD161" s="111"/>
      <c r="NOE161" s="111"/>
      <c r="NOF161" s="111"/>
      <c r="NOG161" s="111"/>
      <c r="NOH161" s="111"/>
      <c r="NOI161" s="111"/>
      <c r="NOJ161" s="111"/>
      <c r="NOK161" s="111"/>
      <c r="NOL161" s="111"/>
      <c r="NOM161" s="111"/>
      <c r="NON161" s="111"/>
      <c r="NOO161" s="111"/>
      <c r="NOP161" s="111"/>
      <c r="NOQ161" s="111"/>
      <c r="NOR161" s="111"/>
      <c r="NOS161" s="111"/>
      <c r="NOT161" s="111"/>
      <c r="NOU161" s="111"/>
      <c r="NOV161" s="111"/>
      <c r="NOW161" s="111"/>
      <c r="NOX161" s="111"/>
      <c r="NOY161" s="111"/>
      <c r="NOZ161" s="111"/>
      <c r="NPA161" s="111"/>
      <c r="NPB161" s="111"/>
      <c r="NPC161" s="111"/>
      <c r="NPD161" s="111"/>
      <c r="NPE161" s="111"/>
      <c r="NPF161" s="111"/>
      <c r="NPG161" s="111"/>
      <c r="NPH161" s="111"/>
      <c r="NPI161" s="111"/>
      <c r="NPJ161" s="111"/>
      <c r="NPK161" s="111"/>
      <c r="NPL161" s="111"/>
      <c r="NPM161" s="111"/>
      <c r="NPN161" s="111"/>
      <c r="NPO161" s="111"/>
      <c r="NPP161" s="111"/>
      <c r="NPQ161" s="111"/>
      <c r="NPR161" s="111"/>
      <c r="NPS161" s="111"/>
      <c r="NPT161" s="111"/>
      <c r="NPU161" s="111"/>
      <c r="NPV161" s="111"/>
      <c r="NPW161" s="111"/>
      <c r="NPX161" s="111"/>
      <c r="NPY161" s="111"/>
      <c r="NPZ161" s="111"/>
      <c r="NQA161" s="111"/>
      <c r="NQB161" s="111"/>
      <c r="NQC161" s="111"/>
      <c r="NQD161" s="111"/>
      <c r="NQE161" s="111"/>
      <c r="NQF161" s="111"/>
      <c r="NQG161" s="111"/>
      <c r="NQH161" s="111"/>
      <c r="NQI161" s="111"/>
      <c r="NQJ161" s="111"/>
      <c r="NQK161" s="111"/>
      <c r="NQL161" s="111"/>
      <c r="NQM161" s="111"/>
      <c r="NQN161" s="111"/>
      <c r="NQO161" s="111"/>
      <c r="NQP161" s="111"/>
      <c r="NQQ161" s="111"/>
      <c r="NQR161" s="111"/>
      <c r="NQS161" s="111"/>
      <c r="NQT161" s="111"/>
      <c r="NQU161" s="111"/>
      <c r="NQV161" s="111"/>
      <c r="NQW161" s="111"/>
      <c r="NQX161" s="111"/>
      <c r="NQY161" s="111"/>
      <c r="NQZ161" s="111"/>
      <c r="NRA161" s="111"/>
      <c r="NRB161" s="111"/>
      <c r="NRC161" s="111"/>
      <c r="NRD161" s="111"/>
      <c r="NRE161" s="111"/>
      <c r="NRF161" s="111"/>
      <c r="NRG161" s="111"/>
      <c r="NRH161" s="111"/>
      <c r="NRI161" s="111"/>
      <c r="NRJ161" s="111"/>
      <c r="NRK161" s="111"/>
      <c r="NRL161" s="111"/>
      <c r="NRM161" s="111"/>
      <c r="NRN161" s="111"/>
      <c r="NRO161" s="111"/>
      <c r="NRP161" s="111"/>
      <c r="NRQ161" s="111"/>
      <c r="NRR161" s="111"/>
      <c r="NRS161" s="111"/>
      <c r="NRT161" s="111"/>
      <c r="NRU161" s="111"/>
      <c r="NRV161" s="111"/>
      <c r="NRW161" s="111"/>
      <c r="NRX161" s="111"/>
      <c r="NRY161" s="111"/>
      <c r="NRZ161" s="111"/>
      <c r="NSA161" s="111"/>
      <c r="NSB161" s="111"/>
      <c r="NSC161" s="111"/>
      <c r="NSD161" s="111"/>
      <c r="NSE161" s="111"/>
      <c r="NSF161" s="111"/>
      <c r="NSG161" s="111"/>
      <c r="NSH161" s="111"/>
      <c r="NSI161" s="111"/>
      <c r="NSJ161" s="111"/>
      <c r="NSK161" s="111"/>
      <c r="NSL161" s="111"/>
      <c r="NSM161" s="111"/>
      <c r="NSN161" s="111"/>
      <c r="NSO161" s="111"/>
      <c r="NSP161" s="111"/>
      <c r="NSQ161" s="111"/>
      <c r="NSR161" s="111"/>
      <c r="NSS161" s="111"/>
      <c r="NST161" s="111"/>
      <c r="NSU161" s="111"/>
      <c r="NSV161" s="111"/>
      <c r="NSW161" s="111"/>
      <c r="NSX161" s="111"/>
      <c r="NSY161" s="111"/>
      <c r="NSZ161" s="111"/>
      <c r="NTA161" s="111"/>
      <c r="NTB161" s="111"/>
      <c r="NTC161" s="111"/>
      <c r="NTD161" s="111"/>
      <c r="NTE161" s="111"/>
      <c r="NTF161" s="111"/>
      <c r="NTG161" s="111"/>
      <c r="NTH161" s="111"/>
      <c r="NTI161" s="111"/>
      <c r="NTJ161" s="111"/>
      <c r="NTK161" s="111"/>
      <c r="NTL161" s="111"/>
      <c r="NTM161" s="111"/>
      <c r="NTN161" s="111"/>
      <c r="NTO161" s="111"/>
      <c r="NTP161" s="111"/>
      <c r="NTQ161" s="111"/>
      <c r="NTR161" s="111"/>
      <c r="NTS161" s="111"/>
      <c r="NTT161" s="111"/>
      <c r="NTU161" s="111"/>
      <c r="NTV161" s="111"/>
      <c r="NTW161" s="111"/>
      <c r="NTX161" s="111"/>
      <c r="NTY161" s="111"/>
      <c r="NTZ161" s="111"/>
      <c r="NUA161" s="111"/>
      <c r="NUB161" s="111"/>
      <c r="NUC161" s="111"/>
      <c r="NUD161" s="111"/>
      <c r="NUE161" s="111"/>
      <c r="NUF161" s="111"/>
      <c r="NUG161" s="111"/>
      <c r="NUH161" s="111"/>
      <c r="NUI161" s="111"/>
      <c r="NUJ161" s="111"/>
      <c r="NUK161" s="111"/>
      <c r="NUL161" s="111"/>
      <c r="NUM161" s="111"/>
      <c r="NUN161" s="111"/>
      <c r="NUO161" s="111"/>
      <c r="NUP161" s="111"/>
      <c r="NUQ161" s="111"/>
      <c r="NUR161" s="111"/>
      <c r="NUS161" s="111"/>
      <c r="NUT161" s="111"/>
      <c r="NUU161" s="111"/>
      <c r="NUV161" s="111"/>
      <c r="NUW161" s="111"/>
      <c r="NUX161" s="111"/>
      <c r="NUY161" s="111"/>
      <c r="NUZ161" s="111"/>
      <c r="NVA161" s="111"/>
      <c r="NVB161" s="111"/>
      <c r="NVC161" s="111"/>
      <c r="NVD161" s="111"/>
      <c r="NVE161" s="111"/>
      <c r="NVF161" s="111"/>
      <c r="NVG161" s="111"/>
      <c r="NVH161" s="111"/>
      <c r="NVI161" s="111"/>
      <c r="NVJ161" s="111"/>
      <c r="NVK161" s="111"/>
      <c r="NVL161" s="111"/>
      <c r="NVM161" s="111"/>
      <c r="NVN161" s="111"/>
      <c r="NVO161" s="111"/>
      <c r="NVP161" s="111"/>
      <c r="NVQ161" s="111"/>
      <c r="NVR161" s="111"/>
      <c r="NVS161" s="111"/>
      <c r="NVT161" s="111"/>
      <c r="NVU161" s="111"/>
      <c r="NVV161" s="111"/>
      <c r="NVW161" s="111"/>
      <c r="NVX161" s="111"/>
      <c r="NVY161" s="111"/>
      <c r="NVZ161" s="111"/>
      <c r="NWA161" s="111"/>
      <c r="NWB161" s="111"/>
      <c r="NWC161" s="111"/>
      <c r="NWD161" s="111"/>
      <c r="NWE161" s="111"/>
      <c r="NWF161" s="111"/>
      <c r="NWG161" s="111"/>
      <c r="NWH161" s="111"/>
      <c r="NWI161" s="111"/>
      <c r="NWJ161" s="111"/>
      <c r="NWK161" s="111"/>
      <c r="NWL161" s="111"/>
      <c r="NWM161" s="111"/>
      <c r="NWN161" s="111"/>
      <c r="NWO161" s="111"/>
      <c r="NWP161" s="111"/>
      <c r="NWQ161" s="111"/>
      <c r="NWR161" s="111"/>
      <c r="NWS161" s="111"/>
      <c r="NWT161" s="111"/>
      <c r="NWU161" s="111"/>
      <c r="NWV161" s="111"/>
      <c r="NWW161" s="111"/>
      <c r="NWX161" s="111"/>
      <c r="NWY161" s="111"/>
      <c r="NWZ161" s="111"/>
      <c r="NXA161" s="111"/>
      <c r="NXB161" s="111"/>
      <c r="NXC161" s="111"/>
      <c r="NXD161" s="111"/>
      <c r="NXE161" s="111"/>
      <c r="NXF161" s="111"/>
      <c r="NXG161" s="111"/>
      <c r="NXH161" s="111"/>
      <c r="NXI161" s="111"/>
      <c r="NXJ161" s="111"/>
      <c r="NXK161" s="111"/>
      <c r="NXL161" s="111"/>
      <c r="NXM161" s="111"/>
      <c r="NXN161" s="111"/>
      <c r="NXO161" s="111"/>
      <c r="NXP161" s="111"/>
      <c r="NXQ161" s="111"/>
      <c r="NXR161" s="111"/>
      <c r="NXS161" s="111"/>
      <c r="NXT161" s="111"/>
      <c r="NXU161" s="111"/>
      <c r="NXV161" s="111"/>
      <c r="NXW161" s="111"/>
      <c r="NXX161" s="111"/>
      <c r="NXY161" s="111"/>
      <c r="NXZ161" s="111"/>
      <c r="NYA161" s="111"/>
      <c r="NYB161" s="111"/>
      <c r="NYC161" s="111"/>
      <c r="NYD161" s="111"/>
      <c r="NYE161" s="111"/>
      <c r="NYF161" s="111"/>
      <c r="NYG161" s="111"/>
      <c r="NYH161" s="111"/>
      <c r="NYI161" s="111"/>
      <c r="NYJ161" s="111"/>
      <c r="NYK161" s="111"/>
      <c r="NYL161" s="111"/>
      <c r="NYM161" s="111"/>
      <c r="NYN161" s="111"/>
      <c r="NYO161" s="111"/>
      <c r="NYP161" s="111"/>
      <c r="NYQ161" s="111"/>
      <c r="NYR161" s="111"/>
      <c r="NYS161" s="111"/>
      <c r="NYT161" s="111"/>
      <c r="NYU161" s="111"/>
      <c r="NYV161" s="111"/>
      <c r="NYW161" s="111"/>
      <c r="NYX161" s="111"/>
      <c r="NYY161" s="111"/>
      <c r="NYZ161" s="111"/>
      <c r="NZA161" s="111"/>
      <c r="NZB161" s="111"/>
      <c r="NZC161" s="111"/>
      <c r="NZD161" s="111"/>
      <c r="NZE161" s="111"/>
      <c r="NZF161" s="111"/>
      <c r="NZG161" s="111"/>
      <c r="NZH161" s="111"/>
      <c r="NZI161" s="111"/>
      <c r="NZJ161" s="111"/>
      <c r="NZK161" s="111"/>
      <c r="NZL161" s="111"/>
      <c r="NZM161" s="111"/>
      <c r="NZN161" s="111"/>
      <c r="NZO161" s="111"/>
      <c r="NZP161" s="111"/>
      <c r="NZQ161" s="111"/>
      <c r="NZR161" s="111"/>
      <c r="NZS161" s="111"/>
      <c r="NZT161" s="111"/>
      <c r="NZU161" s="111"/>
      <c r="NZV161" s="111"/>
      <c r="NZW161" s="111"/>
      <c r="NZX161" s="111"/>
      <c r="NZY161" s="111"/>
      <c r="NZZ161" s="111"/>
      <c r="OAA161" s="111"/>
      <c r="OAB161" s="111"/>
      <c r="OAC161" s="111"/>
      <c r="OAD161" s="111"/>
      <c r="OAE161" s="111"/>
      <c r="OAF161" s="111"/>
      <c r="OAG161" s="111"/>
      <c r="OAH161" s="111"/>
      <c r="OAI161" s="111"/>
      <c r="OAJ161" s="111"/>
      <c r="OAK161" s="111"/>
      <c r="OAL161" s="111"/>
      <c r="OAM161" s="111"/>
      <c r="OAN161" s="111"/>
      <c r="OAO161" s="111"/>
      <c r="OAP161" s="111"/>
      <c r="OAQ161" s="111"/>
      <c r="OAR161" s="111"/>
      <c r="OAS161" s="111"/>
      <c r="OAT161" s="111"/>
      <c r="OAU161" s="111"/>
      <c r="OAV161" s="111"/>
      <c r="OAW161" s="111"/>
      <c r="OAX161" s="111"/>
      <c r="OAY161" s="111"/>
      <c r="OAZ161" s="111"/>
      <c r="OBA161" s="111"/>
      <c r="OBB161" s="111"/>
      <c r="OBC161" s="111"/>
      <c r="OBD161" s="111"/>
      <c r="OBE161" s="111"/>
      <c r="OBF161" s="111"/>
      <c r="OBG161" s="111"/>
      <c r="OBH161" s="111"/>
      <c r="OBI161" s="111"/>
      <c r="OBJ161" s="111"/>
      <c r="OBK161" s="111"/>
      <c r="OBL161" s="111"/>
      <c r="OBM161" s="111"/>
      <c r="OBN161" s="111"/>
      <c r="OBO161" s="111"/>
      <c r="OBP161" s="111"/>
      <c r="OBQ161" s="111"/>
      <c r="OBR161" s="111"/>
      <c r="OBS161" s="111"/>
      <c r="OBT161" s="111"/>
      <c r="OBU161" s="111"/>
      <c r="OBV161" s="111"/>
      <c r="OBW161" s="111"/>
      <c r="OBX161" s="111"/>
      <c r="OBY161" s="111"/>
      <c r="OBZ161" s="111"/>
      <c r="OCA161" s="111"/>
      <c r="OCB161" s="111"/>
      <c r="OCC161" s="111"/>
      <c r="OCD161" s="111"/>
      <c r="OCE161" s="111"/>
      <c r="OCF161" s="111"/>
      <c r="OCG161" s="111"/>
      <c r="OCH161" s="111"/>
      <c r="OCI161" s="111"/>
      <c r="OCJ161" s="111"/>
      <c r="OCK161" s="111"/>
      <c r="OCL161" s="111"/>
      <c r="OCM161" s="111"/>
      <c r="OCN161" s="111"/>
      <c r="OCO161" s="111"/>
      <c r="OCP161" s="111"/>
      <c r="OCQ161" s="111"/>
      <c r="OCR161" s="111"/>
      <c r="OCS161" s="111"/>
      <c r="OCT161" s="111"/>
      <c r="OCU161" s="111"/>
      <c r="OCV161" s="111"/>
      <c r="OCW161" s="111"/>
      <c r="OCX161" s="111"/>
      <c r="OCY161" s="111"/>
      <c r="OCZ161" s="111"/>
      <c r="ODA161" s="111"/>
      <c r="ODB161" s="111"/>
      <c r="ODC161" s="111"/>
      <c r="ODD161" s="111"/>
      <c r="ODE161" s="111"/>
      <c r="ODF161" s="111"/>
      <c r="ODG161" s="111"/>
      <c r="ODH161" s="111"/>
      <c r="ODI161" s="111"/>
      <c r="ODJ161" s="111"/>
      <c r="ODK161" s="111"/>
      <c r="ODL161" s="111"/>
      <c r="ODM161" s="111"/>
      <c r="ODN161" s="111"/>
      <c r="ODO161" s="111"/>
      <c r="ODP161" s="111"/>
      <c r="ODQ161" s="111"/>
      <c r="ODR161" s="111"/>
      <c r="ODS161" s="111"/>
      <c r="ODT161" s="111"/>
      <c r="ODU161" s="111"/>
      <c r="ODV161" s="111"/>
      <c r="ODW161" s="111"/>
      <c r="ODX161" s="111"/>
      <c r="ODY161" s="111"/>
      <c r="ODZ161" s="111"/>
      <c r="OEA161" s="111"/>
      <c r="OEB161" s="111"/>
      <c r="OEC161" s="111"/>
      <c r="OED161" s="111"/>
      <c r="OEE161" s="111"/>
      <c r="OEF161" s="111"/>
      <c r="OEG161" s="111"/>
      <c r="OEH161" s="111"/>
      <c r="OEI161" s="111"/>
      <c r="OEJ161" s="111"/>
      <c r="OEK161" s="111"/>
      <c r="OEL161" s="111"/>
      <c r="OEM161" s="111"/>
      <c r="OEN161" s="111"/>
      <c r="OEO161" s="111"/>
      <c r="OEP161" s="111"/>
      <c r="OEQ161" s="111"/>
      <c r="OER161" s="111"/>
      <c r="OES161" s="111"/>
      <c r="OET161" s="111"/>
      <c r="OEU161" s="111"/>
      <c r="OEV161" s="111"/>
      <c r="OEW161" s="111"/>
      <c r="OEX161" s="111"/>
      <c r="OEY161" s="111"/>
      <c r="OEZ161" s="111"/>
      <c r="OFA161" s="111"/>
      <c r="OFB161" s="111"/>
      <c r="OFC161" s="111"/>
      <c r="OFD161" s="111"/>
      <c r="OFE161" s="111"/>
      <c r="OFF161" s="111"/>
      <c r="OFG161" s="111"/>
      <c r="OFH161" s="111"/>
      <c r="OFI161" s="111"/>
      <c r="OFJ161" s="111"/>
      <c r="OFK161" s="111"/>
      <c r="OFL161" s="111"/>
      <c r="OFM161" s="111"/>
      <c r="OFN161" s="111"/>
      <c r="OFO161" s="111"/>
      <c r="OFP161" s="111"/>
      <c r="OFQ161" s="111"/>
      <c r="OFR161" s="111"/>
      <c r="OFS161" s="111"/>
      <c r="OFT161" s="111"/>
      <c r="OFU161" s="111"/>
      <c r="OFV161" s="111"/>
      <c r="OFW161" s="111"/>
      <c r="OFX161" s="111"/>
      <c r="OFY161" s="111"/>
      <c r="OFZ161" s="111"/>
      <c r="OGA161" s="111"/>
      <c r="OGB161" s="111"/>
      <c r="OGC161" s="111"/>
      <c r="OGD161" s="111"/>
      <c r="OGE161" s="111"/>
      <c r="OGF161" s="111"/>
      <c r="OGG161" s="111"/>
      <c r="OGH161" s="111"/>
      <c r="OGI161" s="111"/>
      <c r="OGJ161" s="111"/>
      <c r="OGK161" s="111"/>
      <c r="OGL161" s="111"/>
      <c r="OGM161" s="111"/>
      <c r="OGN161" s="111"/>
      <c r="OGO161" s="111"/>
      <c r="OGP161" s="111"/>
      <c r="OGQ161" s="111"/>
      <c r="OGR161" s="111"/>
      <c r="OGS161" s="111"/>
      <c r="OGT161" s="111"/>
      <c r="OGU161" s="111"/>
      <c r="OGV161" s="111"/>
      <c r="OGW161" s="111"/>
      <c r="OGX161" s="111"/>
      <c r="OGY161" s="111"/>
      <c r="OGZ161" s="111"/>
      <c r="OHA161" s="111"/>
      <c r="OHB161" s="111"/>
      <c r="OHC161" s="111"/>
      <c r="OHD161" s="111"/>
      <c r="OHE161" s="111"/>
      <c r="OHF161" s="111"/>
      <c r="OHG161" s="111"/>
      <c r="OHH161" s="111"/>
      <c r="OHI161" s="111"/>
      <c r="OHJ161" s="111"/>
      <c r="OHK161" s="111"/>
      <c r="OHL161" s="111"/>
      <c r="OHM161" s="111"/>
      <c r="OHN161" s="111"/>
      <c r="OHO161" s="111"/>
      <c r="OHP161" s="111"/>
      <c r="OHQ161" s="111"/>
      <c r="OHR161" s="111"/>
      <c r="OHS161" s="111"/>
      <c r="OHT161" s="111"/>
      <c r="OHU161" s="111"/>
      <c r="OHV161" s="111"/>
      <c r="OHW161" s="111"/>
      <c r="OHX161" s="111"/>
      <c r="OHY161" s="111"/>
      <c r="OHZ161" s="111"/>
      <c r="OIA161" s="111"/>
      <c r="OIB161" s="111"/>
      <c r="OIC161" s="111"/>
      <c r="OID161" s="111"/>
      <c r="OIE161" s="111"/>
      <c r="OIF161" s="111"/>
      <c r="OIG161" s="111"/>
      <c r="OIH161" s="111"/>
      <c r="OII161" s="111"/>
      <c r="OIJ161" s="111"/>
      <c r="OIK161" s="111"/>
      <c r="OIL161" s="111"/>
      <c r="OIM161" s="111"/>
      <c r="OIN161" s="111"/>
      <c r="OIO161" s="111"/>
      <c r="OIP161" s="111"/>
      <c r="OIQ161" s="111"/>
      <c r="OIR161" s="111"/>
      <c r="OIS161" s="111"/>
      <c r="OIT161" s="111"/>
      <c r="OIU161" s="111"/>
      <c r="OIV161" s="111"/>
      <c r="OIW161" s="111"/>
      <c r="OIX161" s="111"/>
      <c r="OIY161" s="111"/>
      <c r="OIZ161" s="111"/>
      <c r="OJA161" s="111"/>
      <c r="OJB161" s="111"/>
      <c r="OJC161" s="111"/>
      <c r="OJD161" s="111"/>
      <c r="OJE161" s="111"/>
      <c r="OJF161" s="111"/>
      <c r="OJG161" s="111"/>
      <c r="OJH161" s="111"/>
      <c r="OJI161" s="111"/>
      <c r="OJJ161" s="111"/>
      <c r="OJK161" s="111"/>
      <c r="OJL161" s="111"/>
      <c r="OJM161" s="111"/>
      <c r="OJN161" s="111"/>
      <c r="OJO161" s="111"/>
      <c r="OJP161" s="111"/>
      <c r="OJQ161" s="111"/>
      <c r="OJR161" s="111"/>
      <c r="OJS161" s="111"/>
      <c r="OJT161" s="111"/>
      <c r="OJU161" s="111"/>
      <c r="OJV161" s="111"/>
      <c r="OJW161" s="111"/>
      <c r="OJX161" s="111"/>
      <c r="OJY161" s="111"/>
      <c r="OJZ161" s="111"/>
      <c r="OKA161" s="111"/>
      <c r="OKB161" s="111"/>
      <c r="OKC161" s="111"/>
      <c r="OKD161" s="111"/>
      <c r="OKE161" s="111"/>
      <c r="OKF161" s="111"/>
      <c r="OKG161" s="111"/>
      <c r="OKH161" s="111"/>
      <c r="OKI161" s="111"/>
      <c r="OKJ161" s="111"/>
      <c r="OKK161" s="111"/>
      <c r="OKL161" s="111"/>
      <c r="OKM161" s="111"/>
      <c r="OKN161" s="111"/>
      <c r="OKO161" s="111"/>
      <c r="OKP161" s="111"/>
      <c r="OKQ161" s="111"/>
      <c r="OKR161" s="111"/>
      <c r="OKS161" s="111"/>
      <c r="OKT161" s="111"/>
      <c r="OKU161" s="111"/>
      <c r="OKV161" s="111"/>
      <c r="OKW161" s="111"/>
      <c r="OKX161" s="111"/>
      <c r="OKY161" s="111"/>
      <c r="OKZ161" s="111"/>
      <c r="OLA161" s="111"/>
      <c r="OLB161" s="111"/>
      <c r="OLC161" s="111"/>
      <c r="OLD161" s="111"/>
      <c r="OLE161" s="111"/>
      <c r="OLF161" s="111"/>
      <c r="OLG161" s="111"/>
      <c r="OLH161" s="111"/>
      <c r="OLI161" s="111"/>
      <c r="OLJ161" s="111"/>
      <c r="OLK161" s="111"/>
      <c r="OLL161" s="111"/>
      <c r="OLM161" s="111"/>
      <c r="OLN161" s="111"/>
      <c r="OLO161" s="111"/>
      <c r="OLP161" s="111"/>
      <c r="OLQ161" s="111"/>
      <c r="OLR161" s="111"/>
      <c r="OLS161" s="111"/>
      <c r="OLT161" s="111"/>
      <c r="OLU161" s="111"/>
      <c r="OLV161" s="111"/>
      <c r="OLW161" s="111"/>
      <c r="OLX161" s="111"/>
      <c r="OLY161" s="111"/>
      <c r="OLZ161" s="111"/>
      <c r="OMA161" s="111"/>
      <c r="OMB161" s="111"/>
      <c r="OMC161" s="111"/>
      <c r="OMD161" s="111"/>
      <c r="OME161" s="111"/>
      <c r="OMF161" s="111"/>
      <c r="OMG161" s="111"/>
      <c r="OMH161" s="111"/>
      <c r="OMI161" s="111"/>
      <c r="OMJ161" s="111"/>
      <c r="OMK161" s="111"/>
      <c r="OML161" s="111"/>
      <c r="OMM161" s="111"/>
      <c r="OMN161" s="111"/>
      <c r="OMO161" s="111"/>
      <c r="OMP161" s="111"/>
      <c r="OMQ161" s="111"/>
      <c r="OMR161" s="111"/>
      <c r="OMS161" s="111"/>
      <c r="OMT161" s="111"/>
      <c r="OMU161" s="111"/>
      <c r="OMV161" s="111"/>
      <c r="OMW161" s="111"/>
      <c r="OMX161" s="111"/>
      <c r="OMY161" s="111"/>
      <c r="OMZ161" s="111"/>
      <c r="ONA161" s="111"/>
      <c r="ONB161" s="111"/>
      <c r="ONC161" s="111"/>
      <c r="OND161" s="111"/>
      <c r="ONE161" s="111"/>
      <c r="ONF161" s="111"/>
      <c r="ONG161" s="111"/>
      <c r="ONH161" s="111"/>
      <c r="ONI161" s="111"/>
      <c r="ONJ161" s="111"/>
      <c r="ONK161" s="111"/>
      <c r="ONL161" s="111"/>
      <c r="ONM161" s="111"/>
      <c r="ONN161" s="111"/>
      <c r="ONO161" s="111"/>
      <c r="ONP161" s="111"/>
      <c r="ONQ161" s="111"/>
      <c r="ONR161" s="111"/>
      <c r="ONS161" s="111"/>
      <c r="ONT161" s="111"/>
      <c r="ONU161" s="111"/>
      <c r="ONV161" s="111"/>
      <c r="ONW161" s="111"/>
      <c r="ONX161" s="111"/>
      <c r="ONY161" s="111"/>
      <c r="ONZ161" s="111"/>
      <c r="OOA161" s="111"/>
      <c r="OOB161" s="111"/>
      <c r="OOC161" s="111"/>
      <c r="OOD161" s="111"/>
      <c r="OOE161" s="111"/>
      <c r="OOF161" s="111"/>
      <c r="OOG161" s="111"/>
      <c r="OOH161" s="111"/>
      <c r="OOI161" s="111"/>
      <c r="OOJ161" s="111"/>
      <c r="OOK161" s="111"/>
      <c r="OOL161" s="111"/>
      <c r="OOM161" s="111"/>
      <c r="OON161" s="111"/>
      <c r="OOO161" s="111"/>
      <c r="OOP161" s="111"/>
      <c r="OOQ161" s="111"/>
      <c r="OOR161" s="111"/>
      <c r="OOS161" s="111"/>
      <c r="OOT161" s="111"/>
      <c r="OOU161" s="111"/>
      <c r="OOV161" s="111"/>
      <c r="OOW161" s="111"/>
      <c r="OOX161" s="111"/>
      <c r="OOY161" s="111"/>
      <c r="OOZ161" s="111"/>
      <c r="OPA161" s="111"/>
      <c r="OPB161" s="111"/>
      <c r="OPC161" s="111"/>
      <c r="OPD161" s="111"/>
      <c r="OPE161" s="111"/>
      <c r="OPF161" s="111"/>
      <c r="OPG161" s="111"/>
      <c r="OPH161" s="111"/>
      <c r="OPI161" s="111"/>
      <c r="OPJ161" s="111"/>
      <c r="OPK161" s="111"/>
      <c r="OPL161" s="111"/>
      <c r="OPM161" s="111"/>
      <c r="OPN161" s="111"/>
      <c r="OPO161" s="111"/>
      <c r="OPP161" s="111"/>
      <c r="OPQ161" s="111"/>
      <c r="OPR161" s="111"/>
      <c r="OPS161" s="111"/>
      <c r="OPT161" s="111"/>
      <c r="OPU161" s="111"/>
      <c r="OPV161" s="111"/>
      <c r="OPW161" s="111"/>
      <c r="OPX161" s="111"/>
      <c r="OPY161" s="111"/>
      <c r="OPZ161" s="111"/>
      <c r="OQA161" s="111"/>
      <c r="OQB161" s="111"/>
      <c r="OQC161" s="111"/>
      <c r="OQD161" s="111"/>
      <c r="OQE161" s="111"/>
      <c r="OQF161" s="111"/>
      <c r="OQG161" s="111"/>
      <c r="OQH161" s="111"/>
      <c r="OQI161" s="111"/>
      <c r="OQJ161" s="111"/>
      <c r="OQK161" s="111"/>
      <c r="OQL161" s="111"/>
      <c r="OQM161" s="111"/>
      <c r="OQN161" s="111"/>
      <c r="OQO161" s="111"/>
      <c r="OQP161" s="111"/>
      <c r="OQQ161" s="111"/>
      <c r="OQR161" s="111"/>
      <c r="OQS161" s="111"/>
      <c r="OQT161" s="111"/>
      <c r="OQU161" s="111"/>
      <c r="OQV161" s="111"/>
      <c r="OQW161" s="111"/>
      <c r="OQX161" s="111"/>
      <c r="OQY161" s="111"/>
      <c r="OQZ161" s="111"/>
      <c r="ORA161" s="111"/>
      <c r="ORB161" s="111"/>
      <c r="ORC161" s="111"/>
      <c r="ORD161" s="111"/>
      <c r="ORE161" s="111"/>
      <c r="ORF161" s="111"/>
      <c r="ORG161" s="111"/>
      <c r="ORH161" s="111"/>
      <c r="ORI161" s="111"/>
      <c r="ORJ161" s="111"/>
      <c r="ORK161" s="111"/>
      <c r="ORL161" s="111"/>
      <c r="ORM161" s="111"/>
      <c r="ORN161" s="111"/>
      <c r="ORO161" s="111"/>
      <c r="ORP161" s="111"/>
      <c r="ORQ161" s="111"/>
      <c r="ORR161" s="111"/>
      <c r="ORS161" s="111"/>
      <c r="ORT161" s="111"/>
      <c r="ORU161" s="111"/>
      <c r="ORV161" s="111"/>
      <c r="ORW161" s="111"/>
      <c r="ORX161" s="111"/>
      <c r="ORY161" s="111"/>
      <c r="ORZ161" s="111"/>
      <c r="OSA161" s="111"/>
      <c r="OSB161" s="111"/>
      <c r="OSC161" s="111"/>
      <c r="OSD161" s="111"/>
      <c r="OSE161" s="111"/>
      <c r="OSF161" s="111"/>
      <c r="OSG161" s="111"/>
      <c r="OSH161" s="111"/>
      <c r="OSI161" s="111"/>
      <c r="OSJ161" s="111"/>
      <c r="OSK161" s="111"/>
      <c r="OSL161" s="111"/>
      <c r="OSM161" s="111"/>
      <c r="OSN161" s="111"/>
      <c r="OSO161" s="111"/>
      <c r="OSP161" s="111"/>
      <c r="OSQ161" s="111"/>
      <c r="OSR161" s="111"/>
      <c r="OSS161" s="111"/>
      <c r="OST161" s="111"/>
      <c r="OSU161" s="111"/>
      <c r="OSV161" s="111"/>
      <c r="OSW161" s="111"/>
      <c r="OSX161" s="111"/>
      <c r="OSY161" s="111"/>
      <c r="OSZ161" s="111"/>
      <c r="OTA161" s="111"/>
      <c r="OTB161" s="111"/>
      <c r="OTC161" s="111"/>
      <c r="OTD161" s="111"/>
      <c r="OTE161" s="111"/>
      <c r="OTF161" s="111"/>
      <c r="OTG161" s="111"/>
      <c r="OTH161" s="111"/>
      <c r="OTI161" s="111"/>
      <c r="OTJ161" s="111"/>
      <c r="OTK161" s="111"/>
      <c r="OTL161" s="111"/>
      <c r="OTM161" s="111"/>
      <c r="OTN161" s="111"/>
      <c r="OTO161" s="111"/>
      <c r="OTP161" s="111"/>
      <c r="OTQ161" s="111"/>
      <c r="OTR161" s="111"/>
      <c r="OTS161" s="111"/>
      <c r="OTT161" s="111"/>
      <c r="OTU161" s="111"/>
      <c r="OTV161" s="111"/>
      <c r="OTW161" s="111"/>
      <c r="OTX161" s="111"/>
      <c r="OTY161" s="111"/>
      <c r="OTZ161" s="111"/>
      <c r="OUA161" s="111"/>
      <c r="OUB161" s="111"/>
      <c r="OUC161" s="111"/>
      <c r="OUD161" s="111"/>
      <c r="OUE161" s="111"/>
      <c r="OUF161" s="111"/>
      <c r="OUG161" s="111"/>
      <c r="OUH161" s="111"/>
      <c r="OUI161" s="111"/>
      <c r="OUJ161" s="111"/>
      <c r="OUK161" s="111"/>
      <c r="OUL161" s="111"/>
      <c r="OUM161" s="111"/>
      <c r="OUN161" s="111"/>
      <c r="OUO161" s="111"/>
      <c r="OUP161" s="111"/>
      <c r="OUQ161" s="111"/>
      <c r="OUR161" s="111"/>
      <c r="OUS161" s="111"/>
      <c r="OUT161" s="111"/>
      <c r="OUU161" s="111"/>
      <c r="OUV161" s="111"/>
      <c r="OUW161" s="111"/>
      <c r="OUX161" s="111"/>
      <c r="OUY161" s="111"/>
      <c r="OUZ161" s="111"/>
      <c r="OVA161" s="111"/>
      <c r="OVB161" s="111"/>
      <c r="OVC161" s="111"/>
      <c r="OVD161" s="111"/>
      <c r="OVE161" s="111"/>
      <c r="OVF161" s="111"/>
      <c r="OVG161" s="111"/>
      <c r="OVH161" s="111"/>
      <c r="OVI161" s="111"/>
      <c r="OVJ161" s="111"/>
      <c r="OVK161" s="111"/>
      <c r="OVL161" s="111"/>
      <c r="OVM161" s="111"/>
      <c r="OVN161" s="111"/>
      <c r="OVO161" s="111"/>
      <c r="OVP161" s="111"/>
      <c r="OVQ161" s="111"/>
      <c r="OVR161" s="111"/>
      <c r="OVS161" s="111"/>
      <c r="OVT161" s="111"/>
      <c r="OVU161" s="111"/>
      <c r="OVV161" s="111"/>
      <c r="OVW161" s="111"/>
      <c r="OVX161" s="111"/>
      <c r="OVY161" s="111"/>
      <c r="OVZ161" s="111"/>
      <c r="OWA161" s="111"/>
      <c r="OWB161" s="111"/>
      <c r="OWC161" s="111"/>
      <c r="OWD161" s="111"/>
      <c r="OWE161" s="111"/>
      <c r="OWF161" s="111"/>
      <c r="OWG161" s="111"/>
      <c r="OWH161" s="111"/>
      <c r="OWI161" s="111"/>
      <c r="OWJ161" s="111"/>
      <c r="OWK161" s="111"/>
      <c r="OWL161" s="111"/>
      <c r="OWM161" s="111"/>
      <c r="OWN161" s="111"/>
      <c r="OWO161" s="111"/>
      <c r="OWP161" s="111"/>
      <c r="OWQ161" s="111"/>
      <c r="OWR161" s="111"/>
      <c r="OWS161" s="111"/>
      <c r="OWT161" s="111"/>
      <c r="OWU161" s="111"/>
      <c r="OWV161" s="111"/>
      <c r="OWW161" s="111"/>
      <c r="OWX161" s="111"/>
      <c r="OWY161" s="111"/>
      <c r="OWZ161" s="111"/>
      <c r="OXA161" s="111"/>
      <c r="OXB161" s="111"/>
      <c r="OXC161" s="111"/>
      <c r="OXD161" s="111"/>
      <c r="OXE161" s="111"/>
      <c r="OXF161" s="111"/>
      <c r="OXG161" s="111"/>
      <c r="OXH161" s="111"/>
      <c r="OXI161" s="111"/>
      <c r="OXJ161" s="111"/>
      <c r="OXK161" s="111"/>
      <c r="OXL161" s="111"/>
      <c r="OXM161" s="111"/>
      <c r="OXN161" s="111"/>
      <c r="OXO161" s="111"/>
      <c r="OXP161" s="111"/>
      <c r="OXQ161" s="111"/>
      <c r="OXR161" s="111"/>
      <c r="OXS161" s="111"/>
      <c r="OXT161" s="111"/>
      <c r="OXU161" s="111"/>
      <c r="OXV161" s="111"/>
      <c r="OXW161" s="111"/>
      <c r="OXX161" s="111"/>
      <c r="OXY161" s="111"/>
      <c r="OXZ161" s="111"/>
      <c r="OYA161" s="111"/>
      <c r="OYB161" s="111"/>
      <c r="OYC161" s="111"/>
      <c r="OYD161" s="111"/>
      <c r="OYE161" s="111"/>
      <c r="OYF161" s="111"/>
      <c r="OYG161" s="111"/>
      <c r="OYH161" s="111"/>
      <c r="OYI161" s="111"/>
      <c r="OYJ161" s="111"/>
      <c r="OYK161" s="111"/>
      <c r="OYL161" s="111"/>
      <c r="OYM161" s="111"/>
      <c r="OYN161" s="111"/>
      <c r="OYO161" s="111"/>
      <c r="OYP161" s="111"/>
      <c r="OYQ161" s="111"/>
      <c r="OYR161" s="111"/>
      <c r="OYS161" s="111"/>
      <c r="OYT161" s="111"/>
      <c r="OYU161" s="111"/>
      <c r="OYV161" s="111"/>
      <c r="OYW161" s="111"/>
      <c r="OYX161" s="111"/>
      <c r="OYY161" s="111"/>
      <c r="OYZ161" s="111"/>
      <c r="OZA161" s="111"/>
      <c r="OZB161" s="111"/>
      <c r="OZC161" s="111"/>
      <c r="OZD161" s="111"/>
      <c r="OZE161" s="111"/>
      <c r="OZF161" s="111"/>
      <c r="OZG161" s="111"/>
      <c r="OZH161" s="111"/>
      <c r="OZI161" s="111"/>
      <c r="OZJ161" s="111"/>
      <c r="OZK161" s="111"/>
      <c r="OZL161" s="111"/>
      <c r="OZM161" s="111"/>
      <c r="OZN161" s="111"/>
      <c r="OZO161" s="111"/>
      <c r="OZP161" s="111"/>
      <c r="OZQ161" s="111"/>
      <c r="OZR161" s="111"/>
      <c r="OZS161" s="111"/>
      <c r="OZT161" s="111"/>
      <c r="OZU161" s="111"/>
      <c r="OZV161" s="111"/>
      <c r="OZW161" s="111"/>
      <c r="OZX161" s="111"/>
      <c r="OZY161" s="111"/>
      <c r="OZZ161" s="111"/>
      <c r="PAA161" s="111"/>
      <c r="PAB161" s="111"/>
      <c r="PAC161" s="111"/>
      <c r="PAD161" s="111"/>
      <c r="PAE161" s="111"/>
      <c r="PAF161" s="111"/>
      <c r="PAG161" s="111"/>
      <c r="PAH161" s="111"/>
      <c r="PAI161" s="111"/>
      <c r="PAJ161" s="111"/>
      <c r="PAK161" s="111"/>
      <c r="PAL161" s="111"/>
      <c r="PAM161" s="111"/>
      <c r="PAN161" s="111"/>
      <c r="PAO161" s="111"/>
      <c r="PAP161" s="111"/>
      <c r="PAQ161" s="111"/>
      <c r="PAR161" s="111"/>
      <c r="PAS161" s="111"/>
      <c r="PAT161" s="111"/>
      <c r="PAU161" s="111"/>
      <c r="PAV161" s="111"/>
      <c r="PAW161" s="111"/>
      <c r="PAX161" s="111"/>
      <c r="PAY161" s="111"/>
      <c r="PAZ161" s="111"/>
      <c r="PBA161" s="111"/>
      <c r="PBB161" s="111"/>
      <c r="PBC161" s="111"/>
      <c r="PBD161" s="111"/>
      <c r="PBE161" s="111"/>
      <c r="PBF161" s="111"/>
      <c r="PBG161" s="111"/>
      <c r="PBH161" s="111"/>
      <c r="PBI161" s="111"/>
      <c r="PBJ161" s="111"/>
      <c r="PBK161" s="111"/>
      <c r="PBL161" s="111"/>
      <c r="PBM161" s="111"/>
      <c r="PBN161" s="111"/>
      <c r="PBO161" s="111"/>
      <c r="PBP161" s="111"/>
      <c r="PBQ161" s="111"/>
      <c r="PBR161" s="111"/>
      <c r="PBS161" s="111"/>
      <c r="PBT161" s="111"/>
      <c r="PBU161" s="111"/>
      <c r="PBV161" s="111"/>
      <c r="PBW161" s="111"/>
      <c r="PBX161" s="111"/>
      <c r="PBY161" s="111"/>
      <c r="PBZ161" s="111"/>
      <c r="PCA161" s="111"/>
      <c r="PCB161" s="111"/>
      <c r="PCC161" s="111"/>
      <c r="PCD161" s="111"/>
      <c r="PCE161" s="111"/>
      <c r="PCF161" s="111"/>
      <c r="PCG161" s="111"/>
      <c r="PCH161" s="111"/>
      <c r="PCI161" s="111"/>
      <c r="PCJ161" s="111"/>
      <c r="PCK161" s="111"/>
      <c r="PCL161" s="111"/>
      <c r="PCM161" s="111"/>
      <c r="PCN161" s="111"/>
      <c r="PCO161" s="111"/>
      <c r="PCP161" s="111"/>
      <c r="PCQ161" s="111"/>
      <c r="PCR161" s="111"/>
      <c r="PCS161" s="111"/>
      <c r="PCT161" s="111"/>
      <c r="PCU161" s="111"/>
      <c r="PCV161" s="111"/>
      <c r="PCW161" s="111"/>
      <c r="PCX161" s="111"/>
      <c r="PCY161" s="111"/>
      <c r="PCZ161" s="111"/>
      <c r="PDA161" s="111"/>
      <c r="PDB161" s="111"/>
      <c r="PDC161" s="111"/>
      <c r="PDD161" s="111"/>
      <c r="PDE161" s="111"/>
      <c r="PDF161" s="111"/>
      <c r="PDG161" s="111"/>
      <c r="PDH161" s="111"/>
      <c r="PDI161" s="111"/>
      <c r="PDJ161" s="111"/>
      <c r="PDK161" s="111"/>
      <c r="PDL161" s="111"/>
      <c r="PDM161" s="111"/>
      <c r="PDN161" s="111"/>
      <c r="PDO161" s="111"/>
      <c r="PDP161" s="111"/>
      <c r="PDQ161" s="111"/>
      <c r="PDR161" s="111"/>
      <c r="PDS161" s="111"/>
      <c r="PDT161" s="111"/>
      <c r="PDU161" s="111"/>
      <c r="PDV161" s="111"/>
      <c r="PDW161" s="111"/>
      <c r="PDX161" s="111"/>
      <c r="PDY161" s="111"/>
      <c r="PDZ161" s="111"/>
      <c r="PEA161" s="111"/>
      <c r="PEB161" s="111"/>
      <c r="PEC161" s="111"/>
      <c r="PED161" s="111"/>
      <c r="PEE161" s="111"/>
      <c r="PEF161" s="111"/>
      <c r="PEG161" s="111"/>
      <c r="PEH161" s="111"/>
      <c r="PEI161" s="111"/>
      <c r="PEJ161" s="111"/>
      <c r="PEK161" s="111"/>
      <c r="PEL161" s="111"/>
      <c r="PEM161" s="111"/>
      <c r="PEN161" s="111"/>
      <c r="PEO161" s="111"/>
      <c r="PEP161" s="111"/>
      <c r="PEQ161" s="111"/>
      <c r="PER161" s="111"/>
      <c r="PES161" s="111"/>
      <c r="PET161" s="111"/>
      <c r="PEU161" s="111"/>
      <c r="PEV161" s="111"/>
      <c r="PEW161" s="111"/>
      <c r="PEX161" s="111"/>
      <c r="PEY161" s="111"/>
      <c r="PEZ161" s="111"/>
      <c r="PFA161" s="111"/>
      <c r="PFB161" s="111"/>
      <c r="PFC161" s="111"/>
      <c r="PFD161" s="111"/>
      <c r="PFE161" s="111"/>
      <c r="PFF161" s="111"/>
      <c r="PFG161" s="111"/>
      <c r="PFH161" s="111"/>
      <c r="PFI161" s="111"/>
      <c r="PFJ161" s="111"/>
      <c r="PFK161" s="111"/>
      <c r="PFL161" s="111"/>
      <c r="PFM161" s="111"/>
      <c r="PFN161" s="111"/>
      <c r="PFO161" s="111"/>
      <c r="PFP161" s="111"/>
      <c r="PFQ161" s="111"/>
      <c r="PFR161" s="111"/>
      <c r="PFS161" s="111"/>
      <c r="PFT161" s="111"/>
      <c r="PFU161" s="111"/>
      <c r="PFV161" s="111"/>
      <c r="PFW161" s="111"/>
      <c r="PFX161" s="111"/>
      <c r="PFY161" s="111"/>
      <c r="PFZ161" s="111"/>
      <c r="PGA161" s="111"/>
      <c r="PGB161" s="111"/>
      <c r="PGC161" s="111"/>
      <c r="PGD161" s="111"/>
      <c r="PGE161" s="111"/>
      <c r="PGF161" s="111"/>
      <c r="PGG161" s="111"/>
      <c r="PGH161" s="111"/>
      <c r="PGI161" s="111"/>
      <c r="PGJ161" s="111"/>
      <c r="PGK161" s="111"/>
      <c r="PGL161" s="111"/>
      <c r="PGM161" s="111"/>
      <c r="PGN161" s="111"/>
      <c r="PGO161" s="111"/>
      <c r="PGP161" s="111"/>
      <c r="PGQ161" s="111"/>
      <c r="PGR161" s="111"/>
      <c r="PGS161" s="111"/>
      <c r="PGT161" s="111"/>
      <c r="PGU161" s="111"/>
      <c r="PGV161" s="111"/>
      <c r="PGW161" s="111"/>
      <c r="PGX161" s="111"/>
      <c r="PGY161" s="111"/>
      <c r="PGZ161" s="111"/>
      <c r="PHA161" s="111"/>
      <c r="PHB161" s="111"/>
      <c r="PHC161" s="111"/>
      <c r="PHD161" s="111"/>
      <c r="PHE161" s="111"/>
      <c r="PHF161" s="111"/>
      <c r="PHG161" s="111"/>
      <c r="PHH161" s="111"/>
      <c r="PHI161" s="111"/>
      <c r="PHJ161" s="111"/>
      <c r="PHK161" s="111"/>
      <c r="PHL161" s="111"/>
      <c r="PHM161" s="111"/>
      <c r="PHN161" s="111"/>
      <c r="PHO161" s="111"/>
      <c r="PHP161" s="111"/>
      <c r="PHQ161" s="111"/>
      <c r="PHR161" s="111"/>
      <c r="PHS161" s="111"/>
      <c r="PHT161" s="111"/>
      <c r="PHU161" s="111"/>
      <c r="PHV161" s="111"/>
      <c r="PHW161" s="111"/>
      <c r="PHX161" s="111"/>
      <c r="PHY161" s="111"/>
      <c r="PHZ161" s="111"/>
      <c r="PIA161" s="111"/>
      <c r="PIB161" s="111"/>
      <c r="PIC161" s="111"/>
      <c r="PID161" s="111"/>
      <c r="PIE161" s="111"/>
      <c r="PIF161" s="111"/>
      <c r="PIG161" s="111"/>
      <c r="PIH161" s="111"/>
      <c r="PII161" s="111"/>
      <c r="PIJ161" s="111"/>
      <c r="PIK161" s="111"/>
      <c r="PIL161" s="111"/>
      <c r="PIM161" s="111"/>
      <c r="PIN161" s="111"/>
      <c r="PIO161" s="111"/>
      <c r="PIP161" s="111"/>
      <c r="PIQ161" s="111"/>
      <c r="PIR161" s="111"/>
      <c r="PIS161" s="111"/>
      <c r="PIT161" s="111"/>
      <c r="PIU161" s="111"/>
      <c r="PIV161" s="111"/>
      <c r="PIW161" s="111"/>
      <c r="PIX161" s="111"/>
      <c r="PIY161" s="111"/>
      <c r="PIZ161" s="111"/>
      <c r="PJA161" s="111"/>
      <c r="PJB161" s="111"/>
      <c r="PJC161" s="111"/>
      <c r="PJD161" s="111"/>
      <c r="PJE161" s="111"/>
      <c r="PJF161" s="111"/>
      <c r="PJG161" s="111"/>
      <c r="PJH161" s="111"/>
      <c r="PJI161" s="111"/>
      <c r="PJJ161" s="111"/>
      <c r="PJK161" s="111"/>
      <c r="PJL161" s="111"/>
      <c r="PJM161" s="111"/>
      <c r="PJN161" s="111"/>
      <c r="PJO161" s="111"/>
      <c r="PJP161" s="111"/>
      <c r="PJQ161" s="111"/>
      <c r="PJR161" s="111"/>
      <c r="PJS161" s="111"/>
      <c r="PJT161" s="111"/>
      <c r="PJU161" s="111"/>
      <c r="PJV161" s="111"/>
      <c r="PJW161" s="111"/>
      <c r="PJX161" s="111"/>
      <c r="PJY161" s="111"/>
      <c r="PJZ161" s="111"/>
      <c r="PKA161" s="111"/>
      <c r="PKB161" s="111"/>
      <c r="PKC161" s="111"/>
      <c r="PKD161" s="111"/>
      <c r="PKE161" s="111"/>
      <c r="PKF161" s="111"/>
      <c r="PKG161" s="111"/>
      <c r="PKH161" s="111"/>
      <c r="PKI161" s="111"/>
      <c r="PKJ161" s="111"/>
      <c r="PKK161" s="111"/>
      <c r="PKL161" s="111"/>
      <c r="PKM161" s="111"/>
      <c r="PKN161" s="111"/>
      <c r="PKO161" s="111"/>
      <c r="PKP161" s="111"/>
      <c r="PKQ161" s="111"/>
      <c r="PKR161" s="111"/>
      <c r="PKS161" s="111"/>
      <c r="PKT161" s="111"/>
      <c r="PKU161" s="111"/>
      <c r="PKV161" s="111"/>
      <c r="PKW161" s="111"/>
      <c r="PKX161" s="111"/>
      <c r="PKY161" s="111"/>
      <c r="PKZ161" s="111"/>
      <c r="PLA161" s="111"/>
      <c r="PLB161" s="111"/>
      <c r="PLC161" s="111"/>
      <c r="PLD161" s="111"/>
      <c r="PLE161" s="111"/>
      <c r="PLF161" s="111"/>
      <c r="PLG161" s="111"/>
      <c r="PLH161" s="111"/>
      <c r="PLI161" s="111"/>
      <c r="PLJ161" s="111"/>
      <c r="PLK161" s="111"/>
      <c r="PLL161" s="111"/>
      <c r="PLM161" s="111"/>
      <c r="PLN161" s="111"/>
      <c r="PLO161" s="111"/>
      <c r="PLP161" s="111"/>
      <c r="PLQ161" s="111"/>
      <c r="PLR161" s="111"/>
      <c r="PLS161" s="111"/>
      <c r="PLT161" s="111"/>
      <c r="PLU161" s="111"/>
      <c r="PLV161" s="111"/>
      <c r="PLW161" s="111"/>
      <c r="PLX161" s="111"/>
      <c r="PLY161" s="111"/>
      <c r="PLZ161" s="111"/>
      <c r="PMA161" s="111"/>
      <c r="PMB161" s="111"/>
      <c r="PMC161" s="111"/>
      <c r="PMD161" s="111"/>
      <c r="PME161" s="111"/>
      <c r="PMF161" s="111"/>
      <c r="PMG161" s="111"/>
      <c r="PMH161" s="111"/>
      <c r="PMI161" s="111"/>
      <c r="PMJ161" s="111"/>
      <c r="PMK161" s="111"/>
      <c r="PML161" s="111"/>
      <c r="PMM161" s="111"/>
      <c r="PMN161" s="111"/>
      <c r="PMO161" s="111"/>
      <c r="PMP161" s="111"/>
      <c r="PMQ161" s="111"/>
      <c r="PMR161" s="111"/>
      <c r="PMS161" s="111"/>
      <c r="PMT161" s="111"/>
      <c r="PMU161" s="111"/>
      <c r="PMV161" s="111"/>
      <c r="PMW161" s="111"/>
      <c r="PMX161" s="111"/>
      <c r="PMY161" s="111"/>
      <c r="PMZ161" s="111"/>
      <c r="PNA161" s="111"/>
      <c r="PNB161" s="111"/>
      <c r="PNC161" s="111"/>
      <c r="PND161" s="111"/>
      <c r="PNE161" s="111"/>
      <c r="PNF161" s="111"/>
      <c r="PNG161" s="111"/>
      <c r="PNH161" s="111"/>
      <c r="PNI161" s="111"/>
      <c r="PNJ161" s="111"/>
      <c r="PNK161" s="111"/>
      <c r="PNL161" s="111"/>
      <c r="PNM161" s="111"/>
      <c r="PNN161" s="111"/>
      <c r="PNO161" s="111"/>
      <c r="PNP161" s="111"/>
      <c r="PNQ161" s="111"/>
      <c r="PNR161" s="111"/>
      <c r="PNS161" s="111"/>
      <c r="PNT161" s="111"/>
      <c r="PNU161" s="111"/>
      <c r="PNV161" s="111"/>
      <c r="PNW161" s="111"/>
      <c r="PNX161" s="111"/>
      <c r="PNY161" s="111"/>
      <c r="PNZ161" s="111"/>
      <c r="POA161" s="111"/>
      <c r="POB161" s="111"/>
      <c r="POC161" s="111"/>
      <c r="POD161" s="111"/>
      <c r="POE161" s="111"/>
      <c r="POF161" s="111"/>
      <c r="POG161" s="111"/>
      <c r="POH161" s="111"/>
      <c r="POI161" s="111"/>
      <c r="POJ161" s="111"/>
      <c r="POK161" s="111"/>
      <c r="POL161" s="111"/>
      <c r="POM161" s="111"/>
      <c r="PON161" s="111"/>
      <c r="POO161" s="111"/>
      <c r="POP161" s="111"/>
      <c r="POQ161" s="111"/>
      <c r="POR161" s="111"/>
      <c r="POS161" s="111"/>
      <c r="POT161" s="111"/>
      <c r="POU161" s="111"/>
      <c r="POV161" s="111"/>
      <c r="POW161" s="111"/>
      <c r="POX161" s="111"/>
      <c r="POY161" s="111"/>
      <c r="POZ161" s="111"/>
      <c r="PPA161" s="111"/>
      <c r="PPB161" s="111"/>
      <c r="PPC161" s="111"/>
      <c r="PPD161" s="111"/>
      <c r="PPE161" s="111"/>
      <c r="PPF161" s="111"/>
      <c r="PPG161" s="111"/>
      <c r="PPH161" s="111"/>
      <c r="PPI161" s="111"/>
      <c r="PPJ161" s="111"/>
      <c r="PPK161" s="111"/>
      <c r="PPL161" s="111"/>
      <c r="PPM161" s="111"/>
      <c r="PPN161" s="111"/>
      <c r="PPO161" s="111"/>
      <c r="PPP161" s="111"/>
      <c r="PPQ161" s="111"/>
      <c r="PPR161" s="111"/>
      <c r="PPS161" s="111"/>
      <c r="PPT161" s="111"/>
      <c r="PPU161" s="111"/>
      <c r="PPV161" s="111"/>
      <c r="PPW161" s="111"/>
      <c r="PPX161" s="111"/>
      <c r="PPY161" s="111"/>
      <c r="PPZ161" s="111"/>
      <c r="PQA161" s="111"/>
      <c r="PQB161" s="111"/>
      <c r="PQC161" s="111"/>
      <c r="PQD161" s="111"/>
      <c r="PQE161" s="111"/>
      <c r="PQF161" s="111"/>
      <c r="PQG161" s="111"/>
      <c r="PQH161" s="111"/>
      <c r="PQI161" s="111"/>
      <c r="PQJ161" s="111"/>
      <c r="PQK161" s="111"/>
      <c r="PQL161" s="111"/>
      <c r="PQM161" s="111"/>
      <c r="PQN161" s="111"/>
      <c r="PQO161" s="111"/>
      <c r="PQP161" s="111"/>
      <c r="PQQ161" s="111"/>
      <c r="PQR161" s="111"/>
      <c r="PQS161" s="111"/>
      <c r="PQT161" s="111"/>
      <c r="PQU161" s="111"/>
      <c r="PQV161" s="111"/>
      <c r="PQW161" s="111"/>
      <c r="PQX161" s="111"/>
      <c r="PQY161" s="111"/>
      <c r="PQZ161" s="111"/>
      <c r="PRA161" s="111"/>
      <c r="PRB161" s="111"/>
      <c r="PRC161" s="111"/>
      <c r="PRD161" s="111"/>
      <c r="PRE161" s="111"/>
      <c r="PRF161" s="111"/>
      <c r="PRG161" s="111"/>
      <c r="PRH161" s="111"/>
      <c r="PRI161" s="111"/>
      <c r="PRJ161" s="111"/>
      <c r="PRK161" s="111"/>
      <c r="PRL161" s="111"/>
      <c r="PRM161" s="111"/>
      <c r="PRN161" s="111"/>
      <c r="PRO161" s="111"/>
      <c r="PRP161" s="111"/>
      <c r="PRQ161" s="111"/>
      <c r="PRR161" s="111"/>
      <c r="PRS161" s="111"/>
      <c r="PRT161" s="111"/>
      <c r="PRU161" s="111"/>
      <c r="PRV161" s="111"/>
      <c r="PRW161" s="111"/>
      <c r="PRX161" s="111"/>
      <c r="PRY161" s="111"/>
      <c r="PRZ161" s="111"/>
      <c r="PSA161" s="111"/>
      <c r="PSB161" s="111"/>
      <c r="PSC161" s="111"/>
      <c r="PSD161" s="111"/>
      <c r="PSE161" s="111"/>
      <c r="PSF161" s="111"/>
      <c r="PSG161" s="111"/>
      <c r="PSH161" s="111"/>
      <c r="PSI161" s="111"/>
      <c r="PSJ161" s="111"/>
      <c r="PSK161" s="111"/>
      <c r="PSL161" s="111"/>
      <c r="PSM161" s="111"/>
      <c r="PSN161" s="111"/>
      <c r="PSO161" s="111"/>
      <c r="PSP161" s="111"/>
      <c r="PSQ161" s="111"/>
      <c r="PSR161" s="111"/>
      <c r="PSS161" s="111"/>
      <c r="PST161" s="111"/>
      <c r="PSU161" s="111"/>
      <c r="PSV161" s="111"/>
      <c r="PSW161" s="111"/>
      <c r="PSX161" s="111"/>
      <c r="PSY161" s="111"/>
      <c r="PSZ161" s="111"/>
      <c r="PTA161" s="111"/>
      <c r="PTB161" s="111"/>
      <c r="PTC161" s="111"/>
      <c r="PTD161" s="111"/>
      <c r="PTE161" s="111"/>
      <c r="PTF161" s="111"/>
      <c r="PTG161" s="111"/>
      <c r="PTH161" s="111"/>
      <c r="PTI161" s="111"/>
      <c r="PTJ161" s="111"/>
      <c r="PTK161" s="111"/>
      <c r="PTL161" s="111"/>
      <c r="PTM161" s="111"/>
      <c r="PTN161" s="111"/>
      <c r="PTO161" s="111"/>
      <c r="PTP161" s="111"/>
      <c r="PTQ161" s="111"/>
      <c r="PTR161" s="111"/>
      <c r="PTS161" s="111"/>
      <c r="PTT161" s="111"/>
      <c r="PTU161" s="111"/>
      <c r="PTV161" s="111"/>
      <c r="PTW161" s="111"/>
      <c r="PTX161" s="111"/>
      <c r="PTY161" s="111"/>
      <c r="PTZ161" s="111"/>
      <c r="PUA161" s="111"/>
      <c r="PUB161" s="111"/>
      <c r="PUC161" s="111"/>
      <c r="PUD161" s="111"/>
      <c r="PUE161" s="111"/>
      <c r="PUF161" s="111"/>
      <c r="PUG161" s="111"/>
      <c r="PUH161" s="111"/>
      <c r="PUI161" s="111"/>
      <c r="PUJ161" s="111"/>
      <c r="PUK161" s="111"/>
      <c r="PUL161" s="111"/>
      <c r="PUM161" s="111"/>
      <c r="PUN161" s="111"/>
      <c r="PUO161" s="111"/>
      <c r="PUP161" s="111"/>
      <c r="PUQ161" s="111"/>
      <c r="PUR161" s="111"/>
      <c r="PUS161" s="111"/>
      <c r="PUT161" s="111"/>
      <c r="PUU161" s="111"/>
      <c r="PUV161" s="111"/>
      <c r="PUW161" s="111"/>
      <c r="PUX161" s="111"/>
      <c r="PUY161" s="111"/>
      <c r="PUZ161" s="111"/>
      <c r="PVA161" s="111"/>
      <c r="PVB161" s="111"/>
      <c r="PVC161" s="111"/>
      <c r="PVD161" s="111"/>
      <c r="PVE161" s="111"/>
      <c r="PVF161" s="111"/>
      <c r="PVG161" s="111"/>
      <c r="PVH161" s="111"/>
      <c r="PVI161" s="111"/>
      <c r="PVJ161" s="111"/>
      <c r="PVK161" s="111"/>
      <c r="PVL161" s="111"/>
      <c r="PVM161" s="111"/>
      <c r="PVN161" s="111"/>
      <c r="PVO161" s="111"/>
      <c r="PVP161" s="111"/>
      <c r="PVQ161" s="111"/>
      <c r="PVR161" s="111"/>
      <c r="PVS161" s="111"/>
      <c r="PVT161" s="111"/>
      <c r="PVU161" s="111"/>
      <c r="PVV161" s="111"/>
      <c r="PVW161" s="111"/>
      <c r="PVX161" s="111"/>
      <c r="PVY161" s="111"/>
      <c r="PVZ161" s="111"/>
      <c r="PWA161" s="111"/>
      <c r="PWB161" s="111"/>
      <c r="PWC161" s="111"/>
      <c r="PWD161" s="111"/>
      <c r="PWE161" s="111"/>
      <c r="PWF161" s="111"/>
      <c r="PWG161" s="111"/>
      <c r="PWH161" s="111"/>
      <c r="PWI161" s="111"/>
      <c r="PWJ161" s="111"/>
      <c r="PWK161" s="111"/>
      <c r="PWL161" s="111"/>
      <c r="PWM161" s="111"/>
      <c r="PWN161" s="111"/>
      <c r="PWO161" s="111"/>
      <c r="PWP161" s="111"/>
      <c r="PWQ161" s="111"/>
      <c r="PWR161" s="111"/>
      <c r="PWS161" s="111"/>
      <c r="PWT161" s="111"/>
      <c r="PWU161" s="111"/>
      <c r="PWV161" s="111"/>
      <c r="PWW161" s="111"/>
      <c r="PWX161" s="111"/>
      <c r="PWY161" s="111"/>
      <c r="PWZ161" s="111"/>
      <c r="PXA161" s="111"/>
      <c r="PXB161" s="111"/>
      <c r="PXC161" s="111"/>
      <c r="PXD161" s="111"/>
      <c r="PXE161" s="111"/>
      <c r="PXF161" s="111"/>
      <c r="PXG161" s="111"/>
      <c r="PXH161" s="111"/>
      <c r="PXI161" s="111"/>
      <c r="PXJ161" s="111"/>
      <c r="PXK161" s="111"/>
      <c r="PXL161" s="111"/>
      <c r="PXM161" s="111"/>
      <c r="PXN161" s="111"/>
      <c r="PXO161" s="111"/>
      <c r="PXP161" s="111"/>
      <c r="PXQ161" s="111"/>
      <c r="PXR161" s="111"/>
      <c r="PXS161" s="111"/>
      <c r="PXT161" s="111"/>
      <c r="PXU161" s="111"/>
      <c r="PXV161" s="111"/>
      <c r="PXW161" s="111"/>
      <c r="PXX161" s="111"/>
      <c r="PXY161" s="111"/>
      <c r="PXZ161" s="111"/>
      <c r="PYA161" s="111"/>
      <c r="PYB161" s="111"/>
      <c r="PYC161" s="111"/>
      <c r="PYD161" s="111"/>
      <c r="PYE161" s="111"/>
      <c r="PYF161" s="111"/>
      <c r="PYG161" s="111"/>
      <c r="PYH161" s="111"/>
      <c r="PYI161" s="111"/>
      <c r="PYJ161" s="111"/>
      <c r="PYK161" s="111"/>
      <c r="PYL161" s="111"/>
      <c r="PYM161" s="111"/>
      <c r="PYN161" s="111"/>
      <c r="PYO161" s="111"/>
      <c r="PYP161" s="111"/>
      <c r="PYQ161" s="111"/>
      <c r="PYR161" s="111"/>
      <c r="PYS161" s="111"/>
      <c r="PYT161" s="111"/>
      <c r="PYU161" s="111"/>
      <c r="PYV161" s="111"/>
      <c r="PYW161" s="111"/>
      <c r="PYX161" s="111"/>
      <c r="PYY161" s="111"/>
      <c r="PYZ161" s="111"/>
      <c r="PZA161" s="111"/>
      <c r="PZB161" s="111"/>
      <c r="PZC161" s="111"/>
      <c r="PZD161" s="111"/>
      <c r="PZE161" s="111"/>
      <c r="PZF161" s="111"/>
      <c r="PZG161" s="111"/>
      <c r="PZH161" s="111"/>
      <c r="PZI161" s="111"/>
      <c r="PZJ161" s="111"/>
      <c r="PZK161" s="111"/>
      <c r="PZL161" s="111"/>
      <c r="PZM161" s="111"/>
      <c r="PZN161" s="111"/>
      <c r="PZO161" s="111"/>
      <c r="PZP161" s="111"/>
      <c r="PZQ161" s="111"/>
      <c r="PZR161" s="111"/>
      <c r="PZS161" s="111"/>
      <c r="PZT161" s="111"/>
      <c r="PZU161" s="111"/>
      <c r="PZV161" s="111"/>
      <c r="PZW161" s="111"/>
      <c r="PZX161" s="111"/>
      <c r="PZY161" s="111"/>
      <c r="PZZ161" s="111"/>
      <c r="QAA161" s="111"/>
      <c r="QAB161" s="111"/>
      <c r="QAC161" s="111"/>
      <c r="QAD161" s="111"/>
      <c r="QAE161" s="111"/>
      <c r="QAF161" s="111"/>
      <c r="QAG161" s="111"/>
      <c r="QAH161" s="111"/>
      <c r="QAI161" s="111"/>
      <c r="QAJ161" s="111"/>
      <c r="QAK161" s="111"/>
      <c r="QAL161" s="111"/>
      <c r="QAM161" s="111"/>
      <c r="QAN161" s="111"/>
      <c r="QAO161" s="111"/>
      <c r="QAP161" s="111"/>
      <c r="QAQ161" s="111"/>
      <c r="QAR161" s="111"/>
      <c r="QAS161" s="111"/>
      <c r="QAT161" s="111"/>
      <c r="QAU161" s="111"/>
      <c r="QAV161" s="111"/>
      <c r="QAW161" s="111"/>
      <c r="QAX161" s="111"/>
      <c r="QAY161" s="111"/>
      <c r="QAZ161" s="111"/>
      <c r="QBA161" s="111"/>
      <c r="QBB161" s="111"/>
      <c r="QBC161" s="111"/>
      <c r="QBD161" s="111"/>
      <c r="QBE161" s="111"/>
      <c r="QBF161" s="111"/>
      <c r="QBG161" s="111"/>
      <c r="QBH161" s="111"/>
      <c r="QBI161" s="111"/>
      <c r="QBJ161" s="111"/>
      <c r="QBK161" s="111"/>
      <c r="QBL161" s="111"/>
      <c r="QBM161" s="111"/>
      <c r="QBN161" s="111"/>
      <c r="QBO161" s="111"/>
      <c r="QBP161" s="111"/>
      <c r="QBQ161" s="111"/>
      <c r="QBR161" s="111"/>
      <c r="QBS161" s="111"/>
      <c r="QBT161" s="111"/>
      <c r="QBU161" s="111"/>
      <c r="QBV161" s="111"/>
      <c r="QBW161" s="111"/>
      <c r="QBX161" s="111"/>
      <c r="QBY161" s="111"/>
      <c r="QBZ161" s="111"/>
      <c r="QCA161" s="111"/>
      <c r="QCB161" s="111"/>
      <c r="QCC161" s="111"/>
      <c r="QCD161" s="111"/>
      <c r="QCE161" s="111"/>
      <c r="QCF161" s="111"/>
      <c r="QCG161" s="111"/>
      <c r="QCH161" s="111"/>
      <c r="QCI161" s="111"/>
      <c r="QCJ161" s="111"/>
      <c r="QCK161" s="111"/>
      <c r="QCL161" s="111"/>
      <c r="QCM161" s="111"/>
      <c r="QCN161" s="111"/>
      <c r="QCO161" s="111"/>
      <c r="QCP161" s="111"/>
      <c r="QCQ161" s="111"/>
      <c r="QCR161" s="111"/>
      <c r="QCS161" s="111"/>
      <c r="QCT161" s="111"/>
      <c r="QCU161" s="111"/>
      <c r="QCV161" s="111"/>
      <c r="QCW161" s="111"/>
      <c r="QCX161" s="111"/>
      <c r="QCY161" s="111"/>
      <c r="QCZ161" s="111"/>
      <c r="QDA161" s="111"/>
      <c r="QDB161" s="111"/>
      <c r="QDC161" s="111"/>
      <c r="QDD161" s="111"/>
      <c r="QDE161" s="111"/>
      <c r="QDF161" s="111"/>
      <c r="QDG161" s="111"/>
      <c r="QDH161" s="111"/>
      <c r="QDI161" s="111"/>
      <c r="QDJ161" s="111"/>
      <c r="QDK161" s="111"/>
      <c r="QDL161" s="111"/>
      <c r="QDM161" s="111"/>
      <c r="QDN161" s="111"/>
      <c r="QDO161" s="111"/>
      <c r="QDP161" s="111"/>
      <c r="QDQ161" s="111"/>
      <c r="QDR161" s="111"/>
      <c r="QDS161" s="111"/>
      <c r="QDT161" s="111"/>
      <c r="QDU161" s="111"/>
      <c r="QDV161" s="111"/>
      <c r="QDW161" s="111"/>
      <c r="QDX161" s="111"/>
      <c r="QDY161" s="111"/>
      <c r="QDZ161" s="111"/>
      <c r="QEA161" s="111"/>
      <c r="QEB161" s="111"/>
      <c r="QEC161" s="111"/>
      <c r="QED161" s="111"/>
      <c r="QEE161" s="111"/>
      <c r="QEF161" s="111"/>
      <c r="QEG161" s="111"/>
      <c r="QEH161" s="111"/>
      <c r="QEI161" s="111"/>
      <c r="QEJ161" s="111"/>
      <c r="QEK161" s="111"/>
      <c r="QEL161" s="111"/>
      <c r="QEM161" s="111"/>
      <c r="QEN161" s="111"/>
      <c r="QEO161" s="111"/>
      <c r="QEP161" s="111"/>
      <c r="QEQ161" s="111"/>
      <c r="QER161" s="111"/>
      <c r="QES161" s="111"/>
      <c r="QET161" s="111"/>
      <c r="QEU161" s="111"/>
      <c r="QEV161" s="111"/>
      <c r="QEW161" s="111"/>
      <c r="QEX161" s="111"/>
      <c r="QEY161" s="111"/>
      <c r="QEZ161" s="111"/>
      <c r="QFA161" s="111"/>
      <c r="QFB161" s="111"/>
      <c r="QFC161" s="111"/>
      <c r="QFD161" s="111"/>
      <c r="QFE161" s="111"/>
      <c r="QFF161" s="111"/>
      <c r="QFG161" s="111"/>
      <c r="QFH161" s="111"/>
      <c r="QFI161" s="111"/>
      <c r="QFJ161" s="111"/>
      <c r="QFK161" s="111"/>
      <c r="QFL161" s="111"/>
      <c r="QFM161" s="111"/>
      <c r="QFN161" s="111"/>
      <c r="QFO161" s="111"/>
      <c r="QFP161" s="111"/>
      <c r="QFQ161" s="111"/>
      <c r="QFR161" s="111"/>
      <c r="QFS161" s="111"/>
      <c r="QFT161" s="111"/>
      <c r="QFU161" s="111"/>
      <c r="QFV161" s="111"/>
      <c r="QFW161" s="111"/>
      <c r="QFX161" s="111"/>
      <c r="QFY161" s="111"/>
      <c r="QFZ161" s="111"/>
      <c r="QGA161" s="111"/>
      <c r="QGB161" s="111"/>
      <c r="QGC161" s="111"/>
      <c r="QGD161" s="111"/>
      <c r="QGE161" s="111"/>
      <c r="QGF161" s="111"/>
      <c r="QGG161" s="111"/>
      <c r="QGH161" s="111"/>
      <c r="QGI161" s="111"/>
      <c r="QGJ161" s="111"/>
      <c r="QGK161" s="111"/>
      <c r="QGL161" s="111"/>
      <c r="QGM161" s="111"/>
      <c r="QGN161" s="111"/>
      <c r="QGO161" s="111"/>
      <c r="QGP161" s="111"/>
      <c r="QGQ161" s="111"/>
      <c r="QGR161" s="111"/>
      <c r="QGS161" s="111"/>
      <c r="QGT161" s="111"/>
      <c r="QGU161" s="111"/>
      <c r="QGV161" s="111"/>
      <c r="QGW161" s="111"/>
      <c r="QGX161" s="111"/>
      <c r="QGY161" s="111"/>
      <c r="QGZ161" s="111"/>
      <c r="QHA161" s="111"/>
      <c r="QHB161" s="111"/>
      <c r="QHC161" s="111"/>
      <c r="QHD161" s="111"/>
      <c r="QHE161" s="111"/>
      <c r="QHF161" s="111"/>
      <c r="QHG161" s="111"/>
      <c r="QHH161" s="111"/>
      <c r="QHI161" s="111"/>
      <c r="QHJ161" s="111"/>
      <c r="QHK161" s="111"/>
      <c r="QHL161" s="111"/>
      <c r="QHM161" s="111"/>
      <c r="QHN161" s="111"/>
      <c r="QHO161" s="111"/>
      <c r="QHP161" s="111"/>
      <c r="QHQ161" s="111"/>
      <c r="QHR161" s="111"/>
      <c r="QHS161" s="111"/>
      <c r="QHT161" s="111"/>
      <c r="QHU161" s="111"/>
      <c r="QHV161" s="111"/>
      <c r="QHW161" s="111"/>
      <c r="QHX161" s="111"/>
      <c r="QHY161" s="111"/>
      <c r="QHZ161" s="111"/>
      <c r="QIA161" s="111"/>
      <c r="QIB161" s="111"/>
      <c r="QIC161" s="111"/>
      <c r="QID161" s="111"/>
      <c r="QIE161" s="111"/>
      <c r="QIF161" s="111"/>
      <c r="QIG161" s="111"/>
      <c r="QIH161" s="111"/>
      <c r="QII161" s="111"/>
      <c r="QIJ161" s="111"/>
      <c r="QIK161" s="111"/>
      <c r="QIL161" s="111"/>
      <c r="QIM161" s="111"/>
      <c r="QIN161" s="111"/>
      <c r="QIO161" s="111"/>
      <c r="QIP161" s="111"/>
      <c r="QIQ161" s="111"/>
      <c r="QIR161" s="111"/>
      <c r="QIS161" s="111"/>
      <c r="QIT161" s="111"/>
      <c r="QIU161" s="111"/>
      <c r="QIV161" s="111"/>
      <c r="QIW161" s="111"/>
      <c r="QIX161" s="111"/>
      <c r="QIY161" s="111"/>
      <c r="QIZ161" s="111"/>
      <c r="QJA161" s="111"/>
      <c r="QJB161" s="111"/>
      <c r="QJC161" s="111"/>
      <c r="QJD161" s="111"/>
      <c r="QJE161" s="111"/>
      <c r="QJF161" s="111"/>
      <c r="QJG161" s="111"/>
      <c r="QJH161" s="111"/>
      <c r="QJI161" s="111"/>
      <c r="QJJ161" s="111"/>
      <c r="QJK161" s="111"/>
      <c r="QJL161" s="111"/>
      <c r="QJM161" s="111"/>
      <c r="QJN161" s="111"/>
      <c r="QJO161" s="111"/>
      <c r="QJP161" s="111"/>
      <c r="QJQ161" s="111"/>
      <c r="QJR161" s="111"/>
      <c r="QJS161" s="111"/>
      <c r="QJT161" s="111"/>
      <c r="QJU161" s="111"/>
      <c r="QJV161" s="111"/>
      <c r="QJW161" s="111"/>
      <c r="QJX161" s="111"/>
      <c r="QJY161" s="111"/>
      <c r="QJZ161" s="111"/>
      <c r="QKA161" s="111"/>
      <c r="QKB161" s="111"/>
      <c r="QKC161" s="111"/>
      <c r="QKD161" s="111"/>
      <c r="QKE161" s="111"/>
      <c r="QKF161" s="111"/>
      <c r="QKG161" s="111"/>
      <c r="QKH161" s="111"/>
      <c r="QKI161" s="111"/>
      <c r="QKJ161" s="111"/>
      <c r="QKK161" s="111"/>
      <c r="QKL161" s="111"/>
      <c r="QKM161" s="111"/>
      <c r="QKN161" s="111"/>
      <c r="QKO161" s="111"/>
      <c r="QKP161" s="111"/>
      <c r="QKQ161" s="111"/>
      <c r="QKR161" s="111"/>
      <c r="QKS161" s="111"/>
      <c r="QKT161" s="111"/>
      <c r="QKU161" s="111"/>
      <c r="QKV161" s="111"/>
      <c r="QKW161" s="111"/>
      <c r="QKX161" s="111"/>
      <c r="QKY161" s="111"/>
      <c r="QKZ161" s="111"/>
      <c r="QLA161" s="111"/>
      <c r="QLB161" s="111"/>
      <c r="QLC161" s="111"/>
      <c r="QLD161" s="111"/>
      <c r="QLE161" s="111"/>
      <c r="QLF161" s="111"/>
      <c r="QLG161" s="111"/>
      <c r="QLH161" s="111"/>
      <c r="QLI161" s="111"/>
      <c r="QLJ161" s="111"/>
      <c r="QLK161" s="111"/>
      <c r="QLL161" s="111"/>
      <c r="QLM161" s="111"/>
      <c r="QLN161" s="111"/>
      <c r="QLO161" s="111"/>
      <c r="QLP161" s="111"/>
      <c r="QLQ161" s="111"/>
      <c r="QLR161" s="111"/>
      <c r="QLS161" s="111"/>
      <c r="QLT161" s="111"/>
      <c r="QLU161" s="111"/>
      <c r="QLV161" s="111"/>
      <c r="QLW161" s="111"/>
      <c r="QLX161" s="111"/>
      <c r="QLY161" s="111"/>
      <c r="QLZ161" s="111"/>
      <c r="QMA161" s="111"/>
      <c r="QMB161" s="111"/>
      <c r="QMC161" s="111"/>
      <c r="QMD161" s="111"/>
      <c r="QME161" s="111"/>
      <c r="QMF161" s="111"/>
      <c r="QMG161" s="111"/>
      <c r="QMH161" s="111"/>
      <c r="QMI161" s="111"/>
      <c r="QMJ161" s="111"/>
      <c r="QMK161" s="111"/>
      <c r="QML161" s="111"/>
      <c r="QMM161" s="111"/>
      <c r="QMN161" s="111"/>
      <c r="QMO161" s="111"/>
      <c r="QMP161" s="111"/>
      <c r="QMQ161" s="111"/>
      <c r="QMR161" s="111"/>
      <c r="QMS161" s="111"/>
      <c r="QMT161" s="111"/>
      <c r="QMU161" s="111"/>
      <c r="QMV161" s="111"/>
      <c r="QMW161" s="111"/>
      <c r="QMX161" s="111"/>
      <c r="QMY161" s="111"/>
      <c r="QMZ161" s="111"/>
      <c r="QNA161" s="111"/>
      <c r="QNB161" s="111"/>
      <c r="QNC161" s="111"/>
      <c r="QND161" s="111"/>
      <c r="QNE161" s="111"/>
      <c r="QNF161" s="111"/>
      <c r="QNG161" s="111"/>
      <c r="QNH161" s="111"/>
      <c r="QNI161" s="111"/>
      <c r="QNJ161" s="111"/>
      <c r="QNK161" s="111"/>
      <c r="QNL161" s="111"/>
      <c r="QNM161" s="111"/>
      <c r="QNN161" s="111"/>
      <c r="QNO161" s="111"/>
      <c r="QNP161" s="111"/>
      <c r="QNQ161" s="111"/>
      <c r="QNR161" s="111"/>
      <c r="QNS161" s="111"/>
      <c r="QNT161" s="111"/>
      <c r="QNU161" s="111"/>
      <c r="QNV161" s="111"/>
      <c r="QNW161" s="111"/>
      <c r="QNX161" s="111"/>
      <c r="QNY161" s="111"/>
      <c r="QNZ161" s="111"/>
      <c r="QOA161" s="111"/>
      <c r="QOB161" s="111"/>
      <c r="QOC161" s="111"/>
      <c r="QOD161" s="111"/>
      <c r="QOE161" s="111"/>
      <c r="QOF161" s="111"/>
      <c r="QOG161" s="111"/>
      <c r="QOH161" s="111"/>
      <c r="QOI161" s="111"/>
      <c r="QOJ161" s="111"/>
      <c r="QOK161" s="111"/>
      <c r="QOL161" s="111"/>
      <c r="QOM161" s="111"/>
      <c r="QON161" s="111"/>
      <c r="QOO161" s="111"/>
      <c r="QOP161" s="111"/>
      <c r="QOQ161" s="111"/>
      <c r="QOR161" s="111"/>
      <c r="QOS161" s="111"/>
      <c r="QOT161" s="111"/>
      <c r="QOU161" s="111"/>
      <c r="QOV161" s="111"/>
      <c r="QOW161" s="111"/>
      <c r="QOX161" s="111"/>
      <c r="QOY161" s="111"/>
      <c r="QOZ161" s="111"/>
      <c r="QPA161" s="111"/>
      <c r="QPB161" s="111"/>
      <c r="QPC161" s="111"/>
      <c r="QPD161" s="111"/>
      <c r="QPE161" s="111"/>
      <c r="QPF161" s="111"/>
      <c r="QPG161" s="111"/>
      <c r="QPH161" s="111"/>
      <c r="QPI161" s="111"/>
      <c r="QPJ161" s="111"/>
      <c r="QPK161" s="111"/>
      <c r="QPL161" s="111"/>
      <c r="QPM161" s="111"/>
      <c r="QPN161" s="111"/>
      <c r="QPO161" s="111"/>
      <c r="QPP161" s="111"/>
      <c r="QPQ161" s="111"/>
      <c r="QPR161" s="111"/>
      <c r="QPS161" s="111"/>
      <c r="QPT161" s="111"/>
      <c r="QPU161" s="111"/>
      <c r="QPV161" s="111"/>
      <c r="QPW161" s="111"/>
      <c r="QPX161" s="111"/>
      <c r="QPY161" s="111"/>
      <c r="QPZ161" s="111"/>
      <c r="QQA161" s="111"/>
      <c r="QQB161" s="111"/>
      <c r="QQC161" s="111"/>
      <c r="QQD161" s="111"/>
      <c r="QQE161" s="111"/>
      <c r="QQF161" s="111"/>
      <c r="QQG161" s="111"/>
      <c r="QQH161" s="111"/>
      <c r="QQI161" s="111"/>
      <c r="QQJ161" s="111"/>
      <c r="QQK161" s="111"/>
      <c r="QQL161" s="111"/>
      <c r="QQM161" s="111"/>
      <c r="QQN161" s="111"/>
      <c r="QQO161" s="111"/>
      <c r="QQP161" s="111"/>
      <c r="QQQ161" s="111"/>
      <c r="QQR161" s="111"/>
      <c r="QQS161" s="111"/>
      <c r="QQT161" s="111"/>
      <c r="QQU161" s="111"/>
      <c r="QQV161" s="111"/>
      <c r="QQW161" s="111"/>
      <c r="QQX161" s="111"/>
      <c r="QQY161" s="111"/>
      <c r="QQZ161" s="111"/>
      <c r="QRA161" s="111"/>
      <c r="QRB161" s="111"/>
      <c r="QRC161" s="111"/>
      <c r="QRD161" s="111"/>
      <c r="QRE161" s="111"/>
      <c r="QRF161" s="111"/>
      <c r="QRG161" s="111"/>
      <c r="QRH161" s="111"/>
      <c r="QRI161" s="111"/>
      <c r="QRJ161" s="111"/>
      <c r="QRK161" s="111"/>
      <c r="QRL161" s="111"/>
      <c r="QRM161" s="111"/>
      <c r="QRN161" s="111"/>
      <c r="QRO161" s="111"/>
      <c r="QRP161" s="111"/>
      <c r="QRQ161" s="111"/>
      <c r="QRR161" s="111"/>
      <c r="QRS161" s="111"/>
      <c r="QRT161" s="111"/>
      <c r="QRU161" s="111"/>
      <c r="QRV161" s="111"/>
      <c r="QRW161" s="111"/>
      <c r="QRX161" s="111"/>
      <c r="QRY161" s="111"/>
      <c r="QRZ161" s="111"/>
      <c r="QSA161" s="111"/>
      <c r="QSB161" s="111"/>
      <c r="QSC161" s="111"/>
      <c r="QSD161" s="111"/>
      <c r="QSE161" s="111"/>
      <c r="QSF161" s="111"/>
      <c r="QSG161" s="111"/>
      <c r="QSH161" s="111"/>
      <c r="QSI161" s="111"/>
      <c r="QSJ161" s="111"/>
      <c r="QSK161" s="111"/>
      <c r="QSL161" s="111"/>
      <c r="QSM161" s="111"/>
      <c r="QSN161" s="111"/>
      <c r="QSO161" s="111"/>
      <c r="QSP161" s="111"/>
      <c r="QSQ161" s="111"/>
      <c r="QSR161" s="111"/>
      <c r="QSS161" s="111"/>
      <c r="QST161" s="111"/>
      <c r="QSU161" s="111"/>
      <c r="QSV161" s="111"/>
      <c r="QSW161" s="111"/>
      <c r="QSX161" s="111"/>
      <c r="QSY161" s="111"/>
      <c r="QSZ161" s="111"/>
      <c r="QTA161" s="111"/>
      <c r="QTB161" s="111"/>
      <c r="QTC161" s="111"/>
      <c r="QTD161" s="111"/>
      <c r="QTE161" s="111"/>
      <c r="QTF161" s="111"/>
      <c r="QTG161" s="111"/>
      <c r="QTH161" s="111"/>
      <c r="QTI161" s="111"/>
      <c r="QTJ161" s="111"/>
      <c r="QTK161" s="111"/>
      <c r="QTL161" s="111"/>
      <c r="QTM161" s="111"/>
      <c r="QTN161" s="111"/>
      <c r="QTO161" s="111"/>
      <c r="QTP161" s="111"/>
      <c r="QTQ161" s="111"/>
      <c r="QTR161" s="111"/>
      <c r="QTS161" s="111"/>
      <c r="QTT161" s="111"/>
      <c r="QTU161" s="111"/>
      <c r="QTV161" s="111"/>
      <c r="QTW161" s="111"/>
      <c r="QTX161" s="111"/>
      <c r="QTY161" s="111"/>
      <c r="QTZ161" s="111"/>
      <c r="QUA161" s="111"/>
      <c r="QUB161" s="111"/>
      <c r="QUC161" s="111"/>
      <c r="QUD161" s="111"/>
      <c r="QUE161" s="111"/>
      <c r="QUF161" s="111"/>
      <c r="QUG161" s="111"/>
      <c r="QUH161" s="111"/>
      <c r="QUI161" s="111"/>
      <c r="QUJ161" s="111"/>
      <c r="QUK161" s="111"/>
      <c r="QUL161" s="111"/>
      <c r="QUM161" s="111"/>
      <c r="QUN161" s="111"/>
      <c r="QUO161" s="111"/>
      <c r="QUP161" s="111"/>
      <c r="QUQ161" s="111"/>
      <c r="QUR161" s="111"/>
      <c r="QUS161" s="111"/>
      <c r="QUT161" s="111"/>
      <c r="QUU161" s="111"/>
      <c r="QUV161" s="111"/>
      <c r="QUW161" s="111"/>
      <c r="QUX161" s="111"/>
      <c r="QUY161" s="111"/>
      <c r="QUZ161" s="111"/>
      <c r="QVA161" s="111"/>
      <c r="QVB161" s="111"/>
      <c r="QVC161" s="111"/>
      <c r="QVD161" s="111"/>
      <c r="QVE161" s="111"/>
      <c r="QVF161" s="111"/>
      <c r="QVG161" s="111"/>
      <c r="QVH161" s="111"/>
      <c r="QVI161" s="111"/>
      <c r="QVJ161" s="111"/>
      <c r="QVK161" s="111"/>
      <c r="QVL161" s="111"/>
      <c r="QVM161" s="111"/>
      <c r="QVN161" s="111"/>
      <c r="QVO161" s="111"/>
      <c r="QVP161" s="111"/>
      <c r="QVQ161" s="111"/>
      <c r="QVR161" s="111"/>
      <c r="QVS161" s="111"/>
      <c r="QVT161" s="111"/>
      <c r="QVU161" s="111"/>
      <c r="QVV161" s="111"/>
      <c r="QVW161" s="111"/>
      <c r="QVX161" s="111"/>
      <c r="QVY161" s="111"/>
      <c r="QVZ161" s="111"/>
      <c r="QWA161" s="111"/>
      <c r="QWB161" s="111"/>
      <c r="QWC161" s="111"/>
      <c r="QWD161" s="111"/>
      <c r="QWE161" s="111"/>
      <c r="QWF161" s="111"/>
      <c r="QWG161" s="111"/>
      <c r="QWH161" s="111"/>
      <c r="QWI161" s="111"/>
      <c r="QWJ161" s="111"/>
      <c r="QWK161" s="111"/>
      <c r="QWL161" s="111"/>
      <c r="QWM161" s="111"/>
      <c r="QWN161" s="111"/>
      <c r="QWO161" s="111"/>
      <c r="QWP161" s="111"/>
      <c r="QWQ161" s="111"/>
      <c r="QWR161" s="111"/>
      <c r="QWS161" s="111"/>
      <c r="QWT161" s="111"/>
      <c r="QWU161" s="111"/>
      <c r="QWV161" s="111"/>
      <c r="QWW161" s="111"/>
      <c r="QWX161" s="111"/>
      <c r="QWY161" s="111"/>
      <c r="QWZ161" s="111"/>
      <c r="QXA161" s="111"/>
      <c r="QXB161" s="111"/>
      <c r="QXC161" s="111"/>
      <c r="QXD161" s="111"/>
      <c r="QXE161" s="111"/>
      <c r="QXF161" s="111"/>
      <c r="QXG161" s="111"/>
      <c r="QXH161" s="111"/>
      <c r="QXI161" s="111"/>
      <c r="QXJ161" s="111"/>
      <c r="QXK161" s="111"/>
      <c r="QXL161" s="111"/>
      <c r="QXM161" s="111"/>
      <c r="QXN161" s="111"/>
      <c r="QXO161" s="111"/>
      <c r="QXP161" s="111"/>
      <c r="QXQ161" s="111"/>
      <c r="QXR161" s="111"/>
      <c r="QXS161" s="111"/>
      <c r="QXT161" s="111"/>
      <c r="QXU161" s="111"/>
      <c r="QXV161" s="111"/>
      <c r="QXW161" s="111"/>
      <c r="QXX161" s="111"/>
      <c r="QXY161" s="111"/>
      <c r="QXZ161" s="111"/>
      <c r="QYA161" s="111"/>
      <c r="QYB161" s="111"/>
      <c r="QYC161" s="111"/>
      <c r="QYD161" s="111"/>
      <c r="QYE161" s="111"/>
      <c r="QYF161" s="111"/>
      <c r="QYG161" s="111"/>
      <c r="QYH161" s="111"/>
      <c r="QYI161" s="111"/>
      <c r="QYJ161" s="111"/>
      <c r="QYK161" s="111"/>
      <c r="QYL161" s="111"/>
      <c r="QYM161" s="111"/>
      <c r="QYN161" s="111"/>
      <c r="QYO161" s="111"/>
      <c r="QYP161" s="111"/>
      <c r="QYQ161" s="111"/>
      <c r="QYR161" s="111"/>
      <c r="QYS161" s="111"/>
      <c r="QYT161" s="111"/>
      <c r="QYU161" s="111"/>
      <c r="QYV161" s="111"/>
      <c r="QYW161" s="111"/>
      <c r="QYX161" s="111"/>
      <c r="QYY161" s="111"/>
      <c r="QYZ161" s="111"/>
      <c r="QZA161" s="111"/>
      <c r="QZB161" s="111"/>
      <c r="QZC161" s="111"/>
      <c r="QZD161" s="111"/>
      <c r="QZE161" s="111"/>
      <c r="QZF161" s="111"/>
      <c r="QZG161" s="111"/>
      <c r="QZH161" s="111"/>
      <c r="QZI161" s="111"/>
      <c r="QZJ161" s="111"/>
      <c r="QZK161" s="111"/>
      <c r="QZL161" s="111"/>
      <c r="QZM161" s="111"/>
      <c r="QZN161" s="111"/>
      <c r="QZO161" s="111"/>
      <c r="QZP161" s="111"/>
      <c r="QZQ161" s="111"/>
      <c r="QZR161" s="111"/>
      <c r="QZS161" s="111"/>
      <c r="QZT161" s="111"/>
      <c r="QZU161" s="111"/>
      <c r="QZV161" s="111"/>
      <c r="QZW161" s="111"/>
      <c r="QZX161" s="111"/>
      <c r="QZY161" s="111"/>
      <c r="QZZ161" s="111"/>
      <c r="RAA161" s="111"/>
      <c r="RAB161" s="111"/>
      <c r="RAC161" s="111"/>
      <c r="RAD161" s="111"/>
      <c r="RAE161" s="111"/>
      <c r="RAF161" s="111"/>
      <c r="RAG161" s="111"/>
      <c r="RAH161" s="111"/>
      <c r="RAI161" s="111"/>
      <c r="RAJ161" s="111"/>
      <c r="RAK161" s="111"/>
      <c r="RAL161" s="111"/>
      <c r="RAM161" s="111"/>
      <c r="RAN161" s="111"/>
      <c r="RAO161" s="111"/>
      <c r="RAP161" s="111"/>
      <c r="RAQ161" s="111"/>
      <c r="RAR161" s="111"/>
      <c r="RAS161" s="111"/>
      <c r="RAT161" s="111"/>
      <c r="RAU161" s="111"/>
      <c r="RAV161" s="111"/>
      <c r="RAW161" s="111"/>
      <c r="RAX161" s="111"/>
      <c r="RAY161" s="111"/>
      <c r="RAZ161" s="111"/>
      <c r="RBA161" s="111"/>
      <c r="RBB161" s="111"/>
      <c r="RBC161" s="111"/>
      <c r="RBD161" s="111"/>
      <c r="RBE161" s="111"/>
      <c r="RBF161" s="111"/>
      <c r="RBG161" s="111"/>
      <c r="RBH161" s="111"/>
      <c r="RBI161" s="111"/>
      <c r="RBJ161" s="111"/>
      <c r="RBK161" s="111"/>
      <c r="RBL161" s="111"/>
      <c r="RBM161" s="111"/>
      <c r="RBN161" s="111"/>
      <c r="RBO161" s="111"/>
      <c r="RBP161" s="111"/>
      <c r="RBQ161" s="111"/>
      <c r="RBR161" s="111"/>
      <c r="RBS161" s="111"/>
      <c r="RBT161" s="111"/>
      <c r="RBU161" s="111"/>
      <c r="RBV161" s="111"/>
      <c r="RBW161" s="111"/>
      <c r="RBX161" s="111"/>
      <c r="RBY161" s="111"/>
      <c r="RBZ161" s="111"/>
      <c r="RCA161" s="111"/>
      <c r="RCB161" s="111"/>
      <c r="RCC161" s="111"/>
      <c r="RCD161" s="111"/>
      <c r="RCE161" s="111"/>
      <c r="RCF161" s="111"/>
      <c r="RCG161" s="111"/>
      <c r="RCH161" s="111"/>
      <c r="RCI161" s="111"/>
      <c r="RCJ161" s="111"/>
      <c r="RCK161" s="111"/>
      <c r="RCL161" s="111"/>
      <c r="RCM161" s="111"/>
      <c r="RCN161" s="111"/>
      <c r="RCO161" s="111"/>
      <c r="RCP161" s="111"/>
      <c r="RCQ161" s="111"/>
      <c r="RCR161" s="111"/>
      <c r="RCS161" s="111"/>
      <c r="RCT161" s="111"/>
      <c r="RCU161" s="111"/>
      <c r="RCV161" s="111"/>
      <c r="RCW161" s="111"/>
      <c r="RCX161" s="111"/>
      <c r="RCY161" s="111"/>
      <c r="RCZ161" s="111"/>
      <c r="RDA161" s="111"/>
      <c r="RDB161" s="111"/>
      <c r="RDC161" s="111"/>
      <c r="RDD161" s="111"/>
      <c r="RDE161" s="111"/>
      <c r="RDF161" s="111"/>
      <c r="RDG161" s="111"/>
      <c r="RDH161" s="111"/>
      <c r="RDI161" s="111"/>
      <c r="RDJ161" s="111"/>
      <c r="RDK161" s="111"/>
      <c r="RDL161" s="111"/>
      <c r="RDM161" s="111"/>
      <c r="RDN161" s="111"/>
      <c r="RDO161" s="111"/>
      <c r="RDP161" s="111"/>
      <c r="RDQ161" s="111"/>
      <c r="RDR161" s="111"/>
      <c r="RDS161" s="111"/>
      <c r="RDT161" s="111"/>
      <c r="RDU161" s="111"/>
      <c r="RDV161" s="111"/>
      <c r="RDW161" s="111"/>
      <c r="RDX161" s="111"/>
      <c r="RDY161" s="111"/>
      <c r="RDZ161" s="111"/>
      <c r="REA161" s="111"/>
      <c r="REB161" s="111"/>
      <c r="REC161" s="111"/>
      <c r="RED161" s="111"/>
      <c r="REE161" s="111"/>
      <c r="REF161" s="111"/>
      <c r="REG161" s="111"/>
      <c r="REH161" s="111"/>
      <c r="REI161" s="111"/>
      <c r="REJ161" s="111"/>
      <c r="REK161" s="111"/>
      <c r="REL161" s="111"/>
      <c r="REM161" s="111"/>
      <c r="REN161" s="111"/>
      <c r="REO161" s="111"/>
      <c r="REP161" s="111"/>
      <c r="REQ161" s="111"/>
      <c r="RER161" s="111"/>
      <c r="RES161" s="111"/>
      <c r="RET161" s="111"/>
      <c r="REU161" s="111"/>
      <c r="REV161" s="111"/>
      <c r="REW161" s="111"/>
      <c r="REX161" s="111"/>
      <c r="REY161" s="111"/>
      <c r="REZ161" s="111"/>
      <c r="RFA161" s="111"/>
      <c r="RFB161" s="111"/>
      <c r="RFC161" s="111"/>
      <c r="RFD161" s="111"/>
      <c r="RFE161" s="111"/>
      <c r="RFF161" s="111"/>
      <c r="RFG161" s="111"/>
      <c r="RFH161" s="111"/>
      <c r="RFI161" s="111"/>
      <c r="RFJ161" s="111"/>
      <c r="RFK161" s="111"/>
      <c r="RFL161" s="111"/>
      <c r="RFM161" s="111"/>
      <c r="RFN161" s="111"/>
      <c r="RFO161" s="111"/>
      <c r="RFP161" s="111"/>
      <c r="RFQ161" s="111"/>
      <c r="RFR161" s="111"/>
      <c r="RFS161" s="111"/>
      <c r="RFT161" s="111"/>
      <c r="RFU161" s="111"/>
      <c r="RFV161" s="111"/>
      <c r="RFW161" s="111"/>
      <c r="RFX161" s="111"/>
      <c r="RFY161" s="111"/>
      <c r="RFZ161" s="111"/>
      <c r="RGA161" s="111"/>
      <c r="RGB161" s="111"/>
      <c r="RGC161" s="111"/>
      <c r="RGD161" s="111"/>
      <c r="RGE161" s="111"/>
      <c r="RGF161" s="111"/>
      <c r="RGG161" s="111"/>
      <c r="RGH161" s="111"/>
      <c r="RGI161" s="111"/>
      <c r="RGJ161" s="111"/>
      <c r="RGK161" s="111"/>
      <c r="RGL161" s="111"/>
      <c r="RGM161" s="111"/>
      <c r="RGN161" s="111"/>
      <c r="RGO161" s="111"/>
      <c r="RGP161" s="111"/>
      <c r="RGQ161" s="111"/>
      <c r="RGR161" s="111"/>
      <c r="RGS161" s="111"/>
      <c r="RGT161" s="111"/>
      <c r="RGU161" s="111"/>
      <c r="RGV161" s="111"/>
      <c r="RGW161" s="111"/>
      <c r="RGX161" s="111"/>
      <c r="RGY161" s="111"/>
      <c r="RGZ161" s="111"/>
      <c r="RHA161" s="111"/>
      <c r="RHB161" s="111"/>
      <c r="RHC161" s="111"/>
      <c r="RHD161" s="111"/>
      <c r="RHE161" s="111"/>
      <c r="RHF161" s="111"/>
      <c r="RHG161" s="111"/>
      <c r="RHH161" s="111"/>
      <c r="RHI161" s="111"/>
      <c r="RHJ161" s="111"/>
      <c r="RHK161" s="111"/>
      <c r="RHL161" s="111"/>
      <c r="RHM161" s="111"/>
      <c r="RHN161" s="111"/>
      <c r="RHO161" s="111"/>
      <c r="RHP161" s="111"/>
      <c r="RHQ161" s="111"/>
      <c r="RHR161" s="111"/>
      <c r="RHS161" s="111"/>
      <c r="RHT161" s="111"/>
      <c r="RHU161" s="111"/>
      <c r="RHV161" s="111"/>
      <c r="RHW161" s="111"/>
      <c r="RHX161" s="111"/>
      <c r="RHY161" s="111"/>
      <c r="RHZ161" s="111"/>
      <c r="RIA161" s="111"/>
      <c r="RIB161" s="111"/>
      <c r="RIC161" s="111"/>
      <c r="RID161" s="111"/>
      <c r="RIE161" s="111"/>
      <c r="RIF161" s="111"/>
      <c r="RIG161" s="111"/>
      <c r="RIH161" s="111"/>
      <c r="RII161" s="111"/>
      <c r="RIJ161" s="111"/>
      <c r="RIK161" s="111"/>
      <c r="RIL161" s="111"/>
      <c r="RIM161" s="111"/>
      <c r="RIN161" s="111"/>
      <c r="RIO161" s="111"/>
      <c r="RIP161" s="111"/>
      <c r="RIQ161" s="111"/>
      <c r="RIR161" s="111"/>
      <c r="RIS161" s="111"/>
      <c r="RIT161" s="111"/>
      <c r="RIU161" s="111"/>
      <c r="RIV161" s="111"/>
      <c r="RIW161" s="111"/>
      <c r="RIX161" s="111"/>
      <c r="RIY161" s="111"/>
      <c r="RIZ161" s="111"/>
      <c r="RJA161" s="111"/>
      <c r="RJB161" s="111"/>
      <c r="RJC161" s="111"/>
      <c r="RJD161" s="111"/>
      <c r="RJE161" s="111"/>
      <c r="RJF161" s="111"/>
      <c r="RJG161" s="111"/>
      <c r="RJH161" s="111"/>
      <c r="RJI161" s="111"/>
      <c r="RJJ161" s="111"/>
      <c r="RJK161" s="111"/>
      <c r="RJL161" s="111"/>
      <c r="RJM161" s="111"/>
      <c r="RJN161" s="111"/>
      <c r="RJO161" s="111"/>
      <c r="RJP161" s="111"/>
      <c r="RJQ161" s="111"/>
      <c r="RJR161" s="111"/>
      <c r="RJS161" s="111"/>
      <c r="RJT161" s="111"/>
      <c r="RJU161" s="111"/>
      <c r="RJV161" s="111"/>
      <c r="RJW161" s="111"/>
      <c r="RJX161" s="111"/>
      <c r="RJY161" s="111"/>
      <c r="RJZ161" s="111"/>
      <c r="RKA161" s="111"/>
      <c r="RKB161" s="111"/>
      <c r="RKC161" s="111"/>
      <c r="RKD161" s="111"/>
      <c r="RKE161" s="111"/>
      <c r="RKF161" s="111"/>
      <c r="RKG161" s="111"/>
      <c r="RKH161" s="111"/>
      <c r="RKI161" s="111"/>
      <c r="RKJ161" s="111"/>
      <c r="RKK161" s="111"/>
      <c r="RKL161" s="111"/>
      <c r="RKM161" s="111"/>
      <c r="RKN161" s="111"/>
      <c r="RKO161" s="111"/>
      <c r="RKP161" s="111"/>
      <c r="RKQ161" s="111"/>
      <c r="RKR161" s="111"/>
      <c r="RKS161" s="111"/>
      <c r="RKT161" s="111"/>
      <c r="RKU161" s="111"/>
      <c r="RKV161" s="111"/>
      <c r="RKW161" s="111"/>
      <c r="RKX161" s="111"/>
      <c r="RKY161" s="111"/>
      <c r="RKZ161" s="111"/>
      <c r="RLA161" s="111"/>
      <c r="RLB161" s="111"/>
      <c r="RLC161" s="111"/>
      <c r="RLD161" s="111"/>
      <c r="RLE161" s="111"/>
      <c r="RLF161" s="111"/>
      <c r="RLG161" s="111"/>
      <c r="RLH161" s="111"/>
      <c r="RLI161" s="111"/>
      <c r="RLJ161" s="111"/>
      <c r="RLK161" s="111"/>
      <c r="RLL161" s="111"/>
      <c r="RLM161" s="111"/>
      <c r="RLN161" s="111"/>
      <c r="RLO161" s="111"/>
      <c r="RLP161" s="111"/>
      <c r="RLQ161" s="111"/>
      <c r="RLR161" s="111"/>
      <c r="RLS161" s="111"/>
      <c r="RLT161" s="111"/>
      <c r="RLU161" s="111"/>
      <c r="RLV161" s="111"/>
      <c r="RLW161" s="111"/>
      <c r="RLX161" s="111"/>
      <c r="RLY161" s="111"/>
      <c r="RLZ161" s="111"/>
      <c r="RMA161" s="111"/>
      <c r="RMB161" s="111"/>
      <c r="RMC161" s="111"/>
      <c r="RMD161" s="111"/>
      <c r="RME161" s="111"/>
      <c r="RMF161" s="111"/>
      <c r="RMG161" s="111"/>
      <c r="RMH161" s="111"/>
      <c r="RMI161" s="111"/>
      <c r="RMJ161" s="111"/>
      <c r="RMK161" s="111"/>
      <c r="RML161" s="111"/>
      <c r="RMM161" s="111"/>
      <c r="RMN161" s="111"/>
      <c r="RMO161" s="111"/>
      <c r="RMP161" s="111"/>
      <c r="RMQ161" s="111"/>
      <c r="RMR161" s="111"/>
      <c r="RMS161" s="111"/>
      <c r="RMT161" s="111"/>
      <c r="RMU161" s="111"/>
      <c r="RMV161" s="111"/>
      <c r="RMW161" s="111"/>
      <c r="RMX161" s="111"/>
      <c r="RMY161" s="111"/>
      <c r="RMZ161" s="111"/>
      <c r="RNA161" s="111"/>
      <c r="RNB161" s="111"/>
      <c r="RNC161" s="111"/>
      <c r="RND161" s="111"/>
      <c r="RNE161" s="111"/>
      <c r="RNF161" s="111"/>
      <c r="RNG161" s="111"/>
      <c r="RNH161" s="111"/>
      <c r="RNI161" s="111"/>
      <c r="RNJ161" s="111"/>
      <c r="RNK161" s="111"/>
      <c r="RNL161" s="111"/>
      <c r="RNM161" s="111"/>
      <c r="RNN161" s="111"/>
      <c r="RNO161" s="111"/>
      <c r="RNP161" s="111"/>
      <c r="RNQ161" s="111"/>
      <c r="RNR161" s="111"/>
      <c r="RNS161" s="111"/>
      <c r="RNT161" s="111"/>
      <c r="RNU161" s="111"/>
      <c r="RNV161" s="111"/>
      <c r="RNW161" s="111"/>
      <c r="RNX161" s="111"/>
      <c r="RNY161" s="111"/>
      <c r="RNZ161" s="111"/>
      <c r="ROA161" s="111"/>
      <c r="ROB161" s="111"/>
      <c r="ROC161" s="111"/>
      <c r="ROD161" s="111"/>
      <c r="ROE161" s="111"/>
      <c r="ROF161" s="111"/>
      <c r="ROG161" s="111"/>
      <c r="ROH161" s="111"/>
      <c r="ROI161" s="111"/>
      <c r="ROJ161" s="111"/>
      <c r="ROK161" s="111"/>
      <c r="ROL161" s="111"/>
      <c r="ROM161" s="111"/>
      <c r="RON161" s="111"/>
      <c r="ROO161" s="111"/>
      <c r="ROP161" s="111"/>
      <c r="ROQ161" s="111"/>
      <c r="ROR161" s="111"/>
      <c r="ROS161" s="111"/>
      <c r="ROT161" s="111"/>
      <c r="ROU161" s="111"/>
      <c r="ROV161" s="111"/>
      <c r="ROW161" s="111"/>
      <c r="ROX161" s="111"/>
      <c r="ROY161" s="111"/>
      <c r="ROZ161" s="111"/>
      <c r="RPA161" s="111"/>
      <c r="RPB161" s="111"/>
      <c r="RPC161" s="111"/>
      <c r="RPD161" s="111"/>
      <c r="RPE161" s="111"/>
      <c r="RPF161" s="111"/>
      <c r="RPG161" s="111"/>
      <c r="RPH161" s="111"/>
      <c r="RPI161" s="111"/>
      <c r="RPJ161" s="111"/>
      <c r="RPK161" s="111"/>
      <c r="RPL161" s="111"/>
      <c r="RPM161" s="111"/>
      <c r="RPN161" s="111"/>
      <c r="RPO161" s="111"/>
      <c r="RPP161" s="111"/>
      <c r="RPQ161" s="111"/>
      <c r="RPR161" s="111"/>
      <c r="RPS161" s="111"/>
      <c r="RPT161" s="111"/>
      <c r="RPU161" s="111"/>
      <c r="RPV161" s="111"/>
      <c r="RPW161" s="111"/>
      <c r="RPX161" s="111"/>
      <c r="RPY161" s="111"/>
      <c r="RPZ161" s="111"/>
      <c r="RQA161" s="111"/>
      <c r="RQB161" s="111"/>
      <c r="RQC161" s="111"/>
      <c r="RQD161" s="111"/>
      <c r="RQE161" s="111"/>
      <c r="RQF161" s="111"/>
      <c r="RQG161" s="111"/>
      <c r="RQH161" s="111"/>
      <c r="RQI161" s="111"/>
      <c r="RQJ161" s="111"/>
      <c r="RQK161" s="111"/>
      <c r="RQL161" s="111"/>
      <c r="RQM161" s="111"/>
      <c r="RQN161" s="111"/>
      <c r="RQO161" s="111"/>
      <c r="RQP161" s="111"/>
      <c r="RQQ161" s="111"/>
      <c r="RQR161" s="111"/>
      <c r="RQS161" s="111"/>
      <c r="RQT161" s="111"/>
      <c r="RQU161" s="111"/>
      <c r="RQV161" s="111"/>
      <c r="RQW161" s="111"/>
      <c r="RQX161" s="111"/>
      <c r="RQY161" s="111"/>
      <c r="RQZ161" s="111"/>
      <c r="RRA161" s="111"/>
      <c r="RRB161" s="111"/>
      <c r="RRC161" s="111"/>
      <c r="RRD161" s="111"/>
      <c r="RRE161" s="111"/>
      <c r="RRF161" s="111"/>
      <c r="RRG161" s="111"/>
      <c r="RRH161" s="111"/>
      <c r="RRI161" s="111"/>
      <c r="RRJ161" s="111"/>
      <c r="RRK161" s="111"/>
      <c r="RRL161" s="111"/>
      <c r="RRM161" s="111"/>
      <c r="RRN161" s="111"/>
      <c r="RRO161" s="111"/>
      <c r="RRP161" s="111"/>
      <c r="RRQ161" s="111"/>
      <c r="RRR161" s="111"/>
      <c r="RRS161" s="111"/>
      <c r="RRT161" s="111"/>
      <c r="RRU161" s="111"/>
      <c r="RRV161" s="111"/>
      <c r="RRW161" s="111"/>
      <c r="RRX161" s="111"/>
      <c r="RRY161" s="111"/>
      <c r="RRZ161" s="111"/>
      <c r="RSA161" s="111"/>
      <c r="RSB161" s="111"/>
      <c r="RSC161" s="111"/>
      <c r="RSD161" s="111"/>
      <c r="RSE161" s="111"/>
      <c r="RSF161" s="111"/>
      <c r="RSG161" s="111"/>
      <c r="RSH161" s="111"/>
      <c r="RSI161" s="111"/>
      <c r="RSJ161" s="111"/>
      <c r="RSK161" s="111"/>
      <c r="RSL161" s="111"/>
      <c r="RSM161" s="111"/>
      <c r="RSN161" s="111"/>
      <c r="RSO161" s="111"/>
      <c r="RSP161" s="111"/>
      <c r="RSQ161" s="111"/>
      <c r="RSR161" s="111"/>
      <c r="RSS161" s="111"/>
      <c r="RST161" s="111"/>
      <c r="RSU161" s="111"/>
      <c r="RSV161" s="111"/>
      <c r="RSW161" s="111"/>
      <c r="RSX161" s="111"/>
      <c r="RSY161" s="111"/>
      <c r="RSZ161" s="111"/>
      <c r="RTA161" s="111"/>
      <c r="RTB161" s="111"/>
      <c r="RTC161" s="111"/>
      <c r="RTD161" s="111"/>
      <c r="RTE161" s="111"/>
      <c r="RTF161" s="111"/>
      <c r="RTG161" s="111"/>
      <c r="RTH161" s="111"/>
      <c r="RTI161" s="111"/>
      <c r="RTJ161" s="111"/>
      <c r="RTK161" s="111"/>
      <c r="RTL161" s="111"/>
      <c r="RTM161" s="111"/>
      <c r="RTN161" s="111"/>
      <c r="RTO161" s="111"/>
      <c r="RTP161" s="111"/>
      <c r="RTQ161" s="111"/>
      <c r="RTR161" s="111"/>
      <c r="RTS161" s="111"/>
      <c r="RTT161" s="111"/>
      <c r="RTU161" s="111"/>
      <c r="RTV161" s="111"/>
      <c r="RTW161" s="111"/>
      <c r="RTX161" s="111"/>
      <c r="RTY161" s="111"/>
      <c r="RTZ161" s="111"/>
      <c r="RUA161" s="111"/>
      <c r="RUB161" s="111"/>
      <c r="RUC161" s="111"/>
      <c r="RUD161" s="111"/>
      <c r="RUE161" s="111"/>
      <c r="RUF161" s="111"/>
      <c r="RUG161" s="111"/>
      <c r="RUH161" s="111"/>
      <c r="RUI161" s="111"/>
      <c r="RUJ161" s="111"/>
      <c r="RUK161" s="111"/>
      <c r="RUL161" s="111"/>
      <c r="RUM161" s="111"/>
      <c r="RUN161" s="111"/>
      <c r="RUO161" s="111"/>
      <c r="RUP161" s="111"/>
      <c r="RUQ161" s="111"/>
      <c r="RUR161" s="111"/>
      <c r="RUS161" s="111"/>
      <c r="RUT161" s="111"/>
      <c r="RUU161" s="111"/>
      <c r="RUV161" s="111"/>
      <c r="RUW161" s="111"/>
      <c r="RUX161" s="111"/>
      <c r="RUY161" s="111"/>
      <c r="RUZ161" s="111"/>
      <c r="RVA161" s="111"/>
      <c r="RVB161" s="111"/>
      <c r="RVC161" s="111"/>
      <c r="RVD161" s="111"/>
      <c r="RVE161" s="111"/>
      <c r="RVF161" s="111"/>
      <c r="RVG161" s="111"/>
      <c r="RVH161" s="111"/>
      <c r="RVI161" s="111"/>
      <c r="RVJ161" s="111"/>
      <c r="RVK161" s="111"/>
      <c r="RVL161" s="111"/>
      <c r="RVM161" s="111"/>
      <c r="RVN161" s="111"/>
      <c r="RVO161" s="111"/>
      <c r="RVP161" s="111"/>
      <c r="RVQ161" s="111"/>
      <c r="RVR161" s="111"/>
      <c r="RVS161" s="111"/>
      <c r="RVT161" s="111"/>
      <c r="RVU161" s="111"/>
      <c r="RVV161" s="111"/>
      <c r="RVW161" s="111"/>
      <c r="RVX161" s="111"/>
      <c r="RVY161" s="111"/>
      <c r="RVZ161" s="111"/>
      <c r="RWA161" s="111"/>
      <c r="RWB161" s="111"/>
      <c r="RWC161" s="111"/>
      <c r="RWD161" s="111"/>
      <c r="RWE161" s="111"/>
      <c r="RWF161" s="111"/>
      <c r="RWG161" s="111"/>
      <c r="RWH161" s="111"/>
      <c r="RWI161" s="111"/>
      <c r="RWJ161" s="111"/>
      <c r="RWK161" s="111"/>
      <c r="RWL161" s="111"/>
      <c r="RWM161" s="111"/>
      <c r="RWN161" s="111"/>
      <c r="RWO161" s="111"/>
      <c r="RWP161" s="111"/>
      <c r="RWQ161" s="111"/>
      <c r="RWR161" s="111"/>
      <c r="RWS161" s="111"/>
      <c r="RWT161" s="111"/>
      <c r="RWU161" s="111"/>
      <c r="RWV161" s="111"/>
      <c r="RWW161" s="111"/>
      <c r="RWX161" s="111"/>
      <c r="RWY161" s="111"/>
      <c r="RWZ161" s="111"/>
      <c r="RXA161" s="111"/>
      <c r="RXB161" s="111"/>
      <c r="RXC161" s="111"/>
      <c r="RXD161" s="111"/>
      <c r="RXE161" s="111"/>
      <c r="RXF161" s="111"/>
      <c r="RXG161" s="111"/>
      <c r="RXH161" s="111"/>
      <c r="RXI161" s="111"/>
      <c r="RXJ161" s="111"/>
      <c r="RXK161" s="111"/>
      <c r="RXL161" s="111"/>
      <c r="RXM161" s="111"/>
      <c r="RXN161" s="111"/>
      <c r="RXO161" s="111"/>
      <c r="RXP161" s="111"/>
      <c r="RXQ161" s="111"/>
      <c r="RXR161" s="111"/>
      <c r="RXS161" s="111"/>
      <c r="RXT161" s="111"/>
      <c r="RXU161" s="111"/>
      <c r="RXV161" s="111"/>
      <c r="RXW161" s="111"/>
      <c r="RXX161" s="111"/>
      <c r="RXY161" s="111"/>
      <c r="RXZ161" s="111"/>
      <c r="RYA161" s="111"/>
      <c r="RYB161" s="111"/>
      <c r="RYC161" s="111"/>
      <c r="RYD161" s="111"/>
      <c r="RYE161" s="111"/>
      <c r="RYF161" s="111"/>
      <c r="RYG161" s="111"/>
      <c r="RYH161" s="111"/>
      <c r="RYI161" s="111"/>
      <c r="RYJ161" s="111"/>
      <c r="RYK161" s="111"/>
      <c r="RYL161" s="111"/>
      <c r="RYM161" s="111"/>
      <c r="RYN161" s="111"/>
      <c r="RYO161" s="111"/>
      <c r="RYP161" s="111"/>
      <c r="RYQ161" s="111"/>
      <c r="RYR161" s="111"/>
      <c r="RYS161" s="111"/>
      <c r="RYT161" s="111"/>
      <c r="RYU161" s="111"/>
      <c r="RYV161" s="111"/>
      <c r="RYW161" s="111"/>
      <c r="RYX161" s="111"/>
      <c r="RYY161" s="111"/>
      <c r="RYZ161" s="111"/>
      <c r="RZA161" s="111"/>
      <c r="RZB161" s="111"/>
      <c r="RZC161" s="111"/>
      <c r="RZD161" s="111"/>
      <c r="RZE161" s="111"/>
      <c r="RZF161" s="111"/>
      <c r="RZG161" s="111"/>
      <c r="RZH161" s="111"/>
      <c r="RZI161" s="111"/>
      <c r="RZJ161" s="111"/>
      <c r="RZK161" s="111"/>
      <c r="RZL161" s="111"/>
      <c r="RZM161" s="111"/>
      <c r="RZN161" s="111"/>
      <c r="RZO161" s="111"/>
      <c r="RZP161" s="111"/>
      <c r="RZQ161" s="111"/>
      <c r="RZR161" s="111"/>
      <c r="RZS161" s="111"/>
      <c r="RZT161" s="111"/>
      <c r="RZU161" s="111"/>
      <c r="RZV161" s="111"/>
      <c r="RZW161" s="111"/>
      <c r="RZX161" s="111"/>
      <c r="RZY161" s="111"/>
      <c r="RZZ161" s="111"/>
      <c r="SAA161" s="111"/>
      <c r="SAB161" s="111"/>
      <c r="SAC161" s="111"/>
      <c r="SAD161" s="111"/>
      <c r="SAE161" s="111"/>
      <c r="SAF161" s="111"/>
      <c r="SAG161" s="111"/>
      <c r="SAH161" s="111"/>
      <c r="SAI161" s="111"/>
      <c r="SAJ161" s="111"/>
      <c r="SAK161" s="111"/>
      <c r="SAL161" s="111"/>
      <c r="SAM161" s="111"/>
      <c r="SAN161" s="111"/>
      <c r="SAO161" s="111"/>
      <c r="SAP161" s="111"/>
      <c r="SAQ161" s="111"/>
      <c r="SAR161" s="111"/>
      <c r="SAS161" s="111"/>
      <c r="SAT161" s="111"/>
      <c r="SAU161" s="111"/>
      <c r="SAV161" s="111"/>
      <c r="SAW161" s="111"/>
      <c r="SAX161" s="111"/>
      <c r="SAY161" s="111"/>
      <c r="SAZ161" s="111"/>
      <c r="SBA161" s="111"/>
      <c r="SBB161" s="111"/>
      <c r="SBC161" s="111"/>
      <c r="SBD161" s="111"/>
      <c r="SBE161" s="111"/>
      <c r="SBF161" s="111"/>
      <c r="SBG161" s="111"/>
      <c r="SBH161" s="111"/>
      <c r="SBI161" s="111"/>
      <c r="SBJ161" s="111"/>
      <c r="SBK161" s="111"/>
      <c r="SBL161" s="111"/>
      <c r="SBM161" s="111"/>
      <c r="SBN161" s="111"/>
      <c r="SBO161" s="111"/>
      <c r="SBP161" s="111"/>
      <c r="SBQ161" s="111"/>
      <c r="SBR161" s="111"/>
      <c r="SBS161" s="111"/>
      <c r="SBT161" s="111"/>
      <c r="SBU161" s="111"/>
      <c r="SBV161" s="111"/>
      <c r="SBW161" s="111"/>
      <c r="SBX161" s="111"/>
      <c r="SBY161" s="111"/>
      <c r="SBZ161" s="111"/>
      <c r="SCA161" s="111"/>
      <c r="SCB161" s="111"/>
      <c r="SCC161" s="111"/>
      <c r="SCD161" s="111"/>
      <c r="SCE161" s="111"/>
      <c r="SCF161" s="111"/>
      <c r="SCG161" s="111"/>
      <c r="SCH161" s="111"/>
      <c r="SCI161" s="111"/>
      <c r="SCJ161" s="111"/>
      <c r="SCK161" s="111"/>
      <c r="SCL161" s="111"/>
      <c r="SCM161" s="111"/>
      <c r="SCN161" s="111"/>
      <c r="SCO161" s="111"/>
      <c r="SCP161" s="111"/>
      <c r="SCQ161" s="111"/>
      <c r="SCR161" s="111"/>
      <c r="SCS161" s="111"/>
      <c r="SCT161" s="111"/>
      <c r="SCU161" s="111"/>
      <c r="SCV161" s="111"/>
      <c r="SCW161" s="111"/>
      <c r="SCX161" s="111"/>
      <c r="SCY161" s="111"/>
      <c r="SCZ161" s="111"/>
      <c r="SDA161" s="111"/>
      <c r="SDB161" s="111"/>
      <c r="SDC161" s="111"/>
      <c r="SDD161" s="111"/>
      <c r="SDE161" s="111"/>
      <c r="SDF161" s="111"/>
      <c r="SDG161" s="111"/>
      <c r="SDH161" s="111"/>
      <c r="SDI161" s="111"/>
      <c r="SDJ161" s="111"/>
      <c r="SDK161" s="111"/>
      <c r="SDL161" s="111"/>
      <c r="SDM161" s="111"/>
      <c r="SDN161" s="111"/>
      <c r="SDO161" s="111"/>
      <c r="SDP161" s="111"/>
      <c r="SDQ161" s="111"/>
      <c r="SDR161" s="111"/>
      <c r="SDS161" s="111"/>
      <c r="SDT161" s="111"/>
      <c r="SDU161" s="111"/>
      <c r="SDV161" s="111"/>
      <c r="SDW161" s="111"/>
      <c r="SDX161" s="111"/>
      <c r="SDY161" s="111"/>
      <c r="SDZ161" s="111"/>
      <c r="SEA161" s="111"/>
      <c r="SEB161" s="111"/>
      <c r="SEC161" s="111"/>
      <c r="SED161" s="111"/>
      <c r="SEE161" s="111"/>
      <c r="SEF161" s="111"/>
      <c r="SEG161" s="111"/>
      <c r="SEH161" s="111"/>
      <c r="SEI161" s="111"/>
      <c r="SEJ161" s="111"/>
      <c r="SEK161" s="111"/>
      <c r="SEL161" s="111"/>
      <c r="SEM161" s="111"/>
      <c r="SEN161" s="111"/>
      <c r="SEO161" s="111"/>
      <c r="SEP161" s="111"/>
      <c r="SEQ161" s="111"/>
      <c r="SER161" s="111"/>
      <c r="SES161" s="111"/>
      <c r="SET161" s="111"/>
      <c r="SEU161" s="111"/>
      <c r="SEV161" s="111"/>
      <c r="SEW161" s="111"/>
      <c r="SEX161" s="111"/>
      <c r="SEY161" s="111"/>
      <c r="SEZ161" s="111"/>
      <c r="SFA161" s="111"/>
      <c r="SFB161" s="111"/>
      <c r="SFC161" s="111"/>
      <c r="SFD161" s="111"/>
      <c r="SFE161" s="111"/>
      <c r="SFF161" s="111"/>
      <c r="SFG161" s="111"/>
      <c r="SFH161" s="111"/>
      <c r="SFI161" s="111"/>
      <c r="SFJ161" s="111"/>
      <c r="SFK161" s="111"/>
      <c r="SFL161" s="111"/>
      <c r="SFM161" s="111"/>
      <c r="SFN161" s="111"/>
      <c r="SFO161" s="111"/>
      <c r="SFP161" s="111"/>
      <c r="SFQ161" s="111"/>
      <c r="SFR161" s="111"/>
      <c r="SFS161" s="111"/>
      <c r="SFT161" s="111"/>
      <c r="SFU161" s="111"/>
      <c r="SFV161" s="111"/>
      <c r="SFW161" s="111"/>
      <c r="SFX161" s="111"/>
      <c r="SFY161" s="111"/>
      <c r="SFZ161" s="111"/>
      <c r="SGA161" s="111"/>
      <c r="SGB161" s="111"/>
      <c r="SGC161" s="111"/>
      <c r="SGD161" s="111"/>
      <c r="SGE161" s="111"/>
      <c r="SGF161" s="111"/>
      <c r="SGG161" s="111"/>
      <c r="SGH161" s="111"/>
      <c r="SGI161" s="111"/>
      <c r="SGJ161" s="111"/>
      <c r="SGK161" s="111"/>
      <c r="SGL161" s="111"/>
      <c r="SGM161" s="111"/>
      <c r="SGN161" s="111"/>
      <c r="SGO161" s="111"/>
      <c r="SGP161" s="111"/>
      <c r="SGQ161" s="111"/>
      <c r="SGR161" s="111"/>
      <c r="SGS161" s="111"/>
      <c r="SGT161" s="111"/>
      <c r="SGU161" s="111"/>
      <c r="SGV161" s="111"/>
      <c r="SGW161" s="111"/>
      <c r="SGX161" s="111"/>
      <c r="SGY161" s="111"/>
      <c r="SGZ161" s="111"/>
      <c r="SHA161" s="111"/>
      <c r="SHB161" s="111"/>
      <c r="SHC161" s="111"/>
      <c r="SHD161" s="111"/>
      <c r="SHE161" s="111"/>
      <c r="SHF161" s="111"/>
      <c r="SHG161" s="111"/>
      <c r="SHH161" s="111"/>
      <c r="SHI161" s="111"/>
      <c r="SHJ161" s="111"/>
      <c r="SHK161" s="111"/>
      <c r="SHL161" s="111"/>
      <c r="SHM161" s="111"/>
      <c r="SHN161" s="111"/>
      <c r="SHO161" s="111"/>
      <c r="SHP161" s="111"/>
      <c r="SHQ161" s="111"/>
      <c r="SHR161" s="111"/>
      <c r="SHS161" s="111"/>
      <c r="SHT161" s="111"/>
      <c r="SHU161" s="111"/>
      <c r="SHV161" s="111"/>
      <c r="SHW161" s="111"/>
      <c r="SHX161" s="111"/>
      <c r="SHY161" s="111"/>
      <c r="SHZ161" s="111"/>
      <c r="SIA161" s="111"/>
      <c r="SIB161" s="111"/>
      <c r="SIC161" s="111"/>
      <c r="SID161" s="111"/>
      <c r="SIE161" s="111"/>
      <c r="SIF161" s="111"/>
      <c r="SIG161" s="111"/>
      <c r="SIH161" s="111"/>
      <c r="SII161" s="111"/>
      <c r="SIJ161" s="111"/>
      <c r="SIK161" s="111"/>
      <c r="SIL161" s="111"/>
      <c r="SIM161" s="111"/>
      <c r="SIN161" s="111"/>
      <c r="SIO161" s="111"/>
      <c r="SIP161" s="111"/>
      <c r="SIQ161" s="111"/>
      <c r="SIR161" s="111"/>
      <c r="SIS161" s="111"/>
      <c r="SIT161" s="111"/>
      <c r="SIU161" s="111"/>
      <c r="SIV161" s="111"/>
      <c r="SIW161" s="111"/>
      <c r="SIX161" s="111"/>
      <c r="SIY161" s="111"/>
      <c r="SIZ161" s="111"/>
      <c r="SJA161" s="111"/>
      <c r="SJB161" s="111"/>
      <c r="SJC161" s="111"/>
      <c r="SJD161" s="111"/>
      <c r="SJE161" s="111"/>
      <c r="SJF161" s="111"/>
      <c r="SJG161" s="111"/>
      <c r="SJH161" s="111"/>
      <c r="SJI161" s="111"/>
      <c r="SJJ161" s="111"/>
      <c r="SJK161" s="111"/>
      <c r="SJL161" s="111"/>
      <c r="SJM161" s="111"/>
      <c r="SJN161" s="111"/>
      <c r="SJO161" s="111"/>
      <c r="SJP161" s="111"/>
      <c r="SJQ161" s="111"/>
      <c r="SJR161" s="111"/>
      <c r="SJS161" s="111"/>
      <c r="SJT161" s="111"/>
      <c r="SJU161" s="111"/>
      <c r="SJV161" s="111"/>
      <c r="SJW161" s="111"/>
      <c r="SJX161" s="111"/>
      <c r="SJY161" s="111"/>
      <c r="SJZ161" s="111"/>
      <c r="SKA161" s="111"/>
      <c r="SKB161" s="111"/>
      <c r="SKC161" s="111"/>
      <c r="SKD161" s="111"/>
      <c r="SKE161" s="111"/>
      <c r="SKF161" s="111"/>
      <c r="SKG161" s="111"/>
      <c r="SKH161" s="111"/>
      <c r="SKI161" s="111"/>
      <c r="SKJ161" s="111"/>
      <c r="SKK161" s="111"/>
      <c r="SKL161" s="111"/>
      <c r="SKM161" s="111"/>
      <c r="SKN161" s="111"/>
      <c r="SKO161" s="111"/>
      <c r="SKP161" s="111"/>
      <c r="SKQ161" s="111"/>
      <c r="SKR161" s="111"/>
      <c r="SKS161" s="111"/>
      <c r="SKT161" s="111"/>
      <c r="SKU161" s="111"/>
      <c r="SKV161" s="111"/>
      <c r="SKW161" s="111"/>
      <c r="SKX161" s="111"/>
      <c r="SKY161" s="111"/>
      <c r="SKZ161" s="111"/>
      <c r="SLA161" s="111"/>
      <c r="SLB161" s="111"/>
      <c r="SLC161" s="111"/>
      <c r="SLD161" s="111"/>
      <c r="SLE161" s="111"/>
      <c r="SLF161" s="111"/>
      <c r="SLG161" s="111"/>
      <c r="SLH161" s="111"/>
      <c r="SLI161" s="111"/>
      <c r="SLJ161" s="111"/>
      <c r="SLK161" s="111"/>
      <c r="SLL161" s="111"/>
      <c r="SLM161" s="111"/>
      <c r="SLN161" s="111"/>
      <c r="SLO161" s="111"/>
      <c r="SLP161" s="111"/>
      <c r="SLQ161" s="111"/>
      <c r="SLR161" s="111"/>
      <c r="SLS161" s="111"/>
      <c r="SLT161" s="111"/>
      <c r="SLU161" s="111"/>
      <c r="SLV161" s="111"/>
      <c r="SLW161" s="111"/>
      <c r="SLX161" s="111"/>
      <c r="SLY161" s="111"/>
      <c r="SLZ161" s="111"/>
      <c r="SMA161" s="111"/>
      <c r="SMB161" s="111"/>
      <c r="SMC161" s="111"/>
      <c r="SMD161" s="111"/>
      <c r="SME161" s="111"/>
      <c r="SMF161" s="111"/>
      <c r="SMG161" s="111"/>
      <c r="SMH161" s="111"/>
      <c r="SMI161" s="111"/>
      <c r="SMJ161" s="111"/>
      <c r="SMK161" s="111"/>
      <c r="SML161" s="111"/>
      <c r="SMM161" s="111"/>
      <c r="SMN161" s="111"/>
      <c r="SMO161" s="111"/>
      <c r="SMP161" s="111"/>
      <c r="SMQ161" s="111"/>
      <c r="SMR161" s="111"/>
      <c r="SMS161" s="111"/>
      <c r="SMT161" s="111"/>
      <c r="SMU161" s="111"/>
      <c r="SMV161" s="111"/>
      <c r="SMW161" s="111"/>
      <c r="SMX161" s="111"/>
      <c r="SMY161" s="111"/>
      <c r="SMZ161" s="111"/>
      <c r="SNA161" s="111"/>
      <c r="SNB161" s="111"/>
      <c r="SNC161" s="111"/>
      <c r="SND161" s="111"/>
      <c r="SNE161" s="111"/>
      <c r="SNF161" s="111"/>
      <c r="SNG161" s="111"/>
      <c r="SNH161" s="111"/>
      <c r="SNI161" s="111"/>
      <c r="SNJ161" s="111"/>
      <c r="SNK161" s="111"/>
      <c r="SNL161" s="111"/>
      <c r="SNM161" s="111"/>
      <c r="SNN161" s="111"/>
      <c r="SNO161" s="111"/>
      <c r="SNP161" s="111"/>
      <c r="SNQ161" s="111"/>
      <c r="SNR161" s="111"/>
      <c r="SNS161" s="111"/>
      <c r="SNT161" s="111"/>
      <c r="SNU161" s="111"/>
      <c r="SNV161" s="111"/>
      <c r="SNW161" s="111"/>
      <c r="SNX161" s="111"/>
      <c r="SNY161" s="111"/>
      <c r="SNZ161" s="111"/>
      <c r="SOA161" s="111"/>
      <c r="SOB161" s="111"/>
      <c r="SOC161" s="111"/>
      <c r="SOD161" s="111"/>
      <c r="SOE161" s="111"/>
      <c r="SOF161" s="111"/>
      <c r="SOG161" s="111"/>
      <c r="SOH161" s="111"/>
      <c r="SOI161" s="111"/>
      <c r="SOJ161" s="111"/>
      <c r="SOK161" s="111"/>
      <c r="SOL161" s="111"/>
      <c r="SOM161" s="111"/>
      <c r="SON161" s="111"/>
      <c r="SOO161" s="111"/>
      <c r="SOP161" s="111"/>
      <c r="SOQ161" s="111"/>
      <c r="SOR161" s="111"/>
      <c r="SOS161" s="111"/>
      <c r="SOT161" s="111"/>
      <c r="SOU161" s="111"/>
      <c r="SOV161" s="111"/>
      <c r="SOW161" s="111"/>
      <c r="SOX161" s="111"/>
      <c r="SOY161" s="111"/>
      <c r="SOZ161" s="111"/>
      <c r="SPA161" s="111"/>
      <c r="SPB161" s="111"/>
      <c r="SPC161" s="111"/>
      <c r="SPD161" s="111"/>
      <c r="SPE161" s="111"/>
      <c r="SPF161" s="111"/>
      <c r="SPG161" s="111"/>
      <c r="SPH161" s="111"/>
      <c r="SPI161" s="111"/>
      <c r="SPJ161" s="111"/>
      <c r="SPK161" s="111"/>
      <c r="SPL161" s="111"/>
      <c r="SPM161" s="111"/>
      <c r="SPN161" s="111"/>
      <c r="SPO161" s="111"/>
      <c r="SPP161" s="111"/>
      <c r="SPQ161" s="111"/>
      <c r="SPR161" s="111"/>
      <c r="SPS161" s="111"/>
      <c r="SPT161" s="111"/>
      <c r="SPU161" s="111"/>
      <c r="SPV161" s="111"/>
      <c r="SPW161" s="111"/>
      <c r="SPX161" s="111"/>
      <c r="SPY161" s="111"/>
      <c r="SPZ161" s="111"/>
      <c r="SQA161" s="111"/>
      <c r="SQB161" s="111"/>
      <c r="SQC161" s="111"/>
      <c r="SQD161" s="111"/>
      <c r="SQE161" s="111"/>
      <c r="SQF161" s="111"/>
      <c r="SQG161" s="111"/>
      <c r="SQH161" s="111"/>
      <c r="SQI161" s="111"/>
      <c r="SQJ161" s="111"/>
      <c r="SQK161" s="111"/>
      <c r="SQL161" s="111"/>
      <c r="SQM161" s="111"/>
      <c r="SQN161" s="111"/>
      <c r="SQO161" s="111"/>
      <c r="SQP161" s="111"/>
      <c r="SQQ161" s="111"/>
      <c r="SQR161" s="111"/>
      <c r="SQS161" s="111"/>
      <c r="SQT161" s="111"/>
      <c r="SQU161" s="111"/>
      <c r="SQV161" s="111"/>
      <c r="SQW161" s="111"/>
      <c r="SQX161" s="111"/>
      <c r="SQY161" s="111"/>
      <c r="SQZ161" s="111"/>
      <c r="SRA161" s="111"/>
      <c r="SRB161" s="111"/>
      <c r="SRC161" s="111"/>
      <c r="SRD161" s="111"/>
      <c r="SRE161" s="111"/>
      <c r="SRF161" s="111"/>
      <c r="SRG161" s="111"/>
      <c r="SRH161" s="111"/>
      <c r="SRI161" s="111"/>
      <c r="SRJ161" s="111"/>
      <c r="SRK161" s="111"/>
      <c r="SRL161" s="111"/>
      <c r="SRM161" s="111"/>
      <c r="SRN161" s="111"/>
      <c r="SRO161" s="111"/>
      <c r="SRP161" s="111"/>
      <c r="SRQ161" s="111"/>
      <c r="SRR161" s="111"/>
      <c r="SRS161" s="111"/>
      <c r="SRT161" s="111"/>
      <c r="SRU161" s="111"/>
      <c r="SRV161" s="111"/>
      <c r="SRW161" s="111"/>
      <c r="SRX161" s="111"/>
      <c r="SRY161" s="111"/>
      <c r="SRZ161" s="111"/>
      <c r="SSA161" s="111"/>
      <c r="SSB161" s="111"/>
      <c r="SSC161" s="111"/>
      <c r="SSD161" s="111"/>
      <c r="SSE161" s="111"/>
      <c r="SSF161" s="111"/>
      <c r="SSG161" s="111"/>
      <c r="SSH161" s="111"/>
      <c r="SSI161" s="111"/>
      <c r="SSJ161" s="111"/>
      <c r="SSK161" s="111"/>
      <c r="SSL161" s="111"/>
      <c r="SSM161" s="111"/>
      <c r="SSN161" s="111"/>
      <c r="SSO161" s="111"/>
      <c r="SSP161" s="111"/>
      <c r="SSQ161" s="111"/>
      <c r="SSR161" s="111"/>
      <c r="SSS161" s="111"/>
      <c r="SST161" s="111"/>
      <c r="SSU161" s="111"/>
      <c r="SSV161" s="111"/>
      <c r="SSW161" s="111"/>
      <c r="SSX161" s="111"/>
      <c r="SSY161" s="111"/>
      <c r="SSZ161" s="111"/>
      <c r="STA161" s="111"/>
      <c r="STB161" s="111"/>
      <c r="STC161" s="111"/>
      <c r="STD161" s="111"/>
      <c r="STE161" s="111"/>
      <c r="STF161" s="111"/>
      <c r="STG161" s="111"/>
      <c r="STH161" s="111"/>
      <c r="STI161" s="111"/>
      <c r="STJ161" s="111"/>
      <c r="STK161" s="111"/>
      <c r="STL161" s="111"/>
      <c r="STM161" s="111"/>
      <c r="STN161" s="111"/>
      <c r="STO161" s="111"/>
      <c r="STP161" s="111"/>
      <c r="STQ161" s="111"/>
      <c r="STR161" s="111"/>
      <c r="STS161" s="111"/>
      <c r="STT161" s="111"/>
      <c r="STU161" s="111"/>
      <c r="STV161" s="111"/>
      <c r="STW161" s="111"/>
      <c r="STX161" s="111"/>
      <c r="STY161" s="111"/>
      <c r="STZ161" s="111"/>
      <c r="SUA161" s="111"/>
      <c r="SUB161" s="111"/>
      <c r="SUC161" s="111"/>
      <c r="SUD161" s="111"/>
      <c r="SUE161" s="111"/>
      <c r="SUF161" s="111"/>
      <c r="SUG161" s="111"/>
      <c r="SUH161" s="111"/>
      <c r="SUI161" s="111"/>
      <c r="SUJ161" s="111"/>
      <c r="SUK161" s="111"/>
      <c r="SUL161" s="111"/>
      <c r="SUM161" s="111"/>
      <c r="SUN161" s="111"/>
      <c r="SUO161" s="111"/>
      <c r="SUP161" s="111"/>
      <c r="SUQ161" s="111"/>
      <c r="SUR161" s="111"/>
      <c r="SUS161" s="111"/>
      <c r="SUT161" s="111"/>
      <c r="SUU161" s="111"/>
      <c r="SUV161" s="111"/>
      <c r="SUW161" s="111"/>
      <c r="SUX161" s="111"/>
      <c r="SUY161" s="111"/>
      <c r="SUZ161" s="111"/>
      <c r="SVA161" s="111"/>
      <c r="SVB161" s="111"/>
      <c r="SVC161" s="111"/>
      <c r="SVD161" s="111"/>
      <c r="SVE161" s="111"/>
      <c r="SVF161" s="111"/>
      <c r="SVG161" s="111"/>
      <c r="SVH161" s="111"/>
      <c r="SVI161" s="111"/>
      <c r="SVJ161" s="111"/>
      <c r="SVK161" s="111"/>
      <c r="SVL161" s="111"/>
      <c r="SVM161" s="111"/>
      <c r="SVN161" s="111"/>
      <c r="SVO161" s="111"/>
      <c r="SVP161" s="111"/>
      <c r="SVQ161" s="111"/>
      <c r="SVR161" s="111"/>
      <c r="SVS161" s="111"/>
      <c r="SVT161" s="111"/>
      <c r="SVU161" s="111"/>
      <c r="SVV161" s="111"/>
      <c r="SVW161" s="111"/>
      <c r="SVX161" s="111"/>
      <c r="SVY161" s="111"/>
      <c r="SVZ161" s="111"/>
      <c r="SWA161" s="111"/>
      <c r="SWB161" s="111"/>
      <c r="SWC161" s="111"/>
      <c r="SWD161" s="111"/>
      <c r="SWE161" s="111"/>
      <c r="SWF161" s="111"/>
      <c r="SWG161" s="111"/>
      <c r="SWH161" s="111"/>
      <c r="SWI161" s="111"/>
      <c r="SWJ161" s="111"/>
      <c r="SWK161" s="111"/>
      <c r="SWL161" s="111"/>
      <c r="SWM161" s="111"/>
      <c r="SWN161" s="111"/>
      <c r="SWO161" s="111"/>
      <c r="SWP161" s="111"/>
      <c r="SWQ161" s="111"/>
      <c r="SWR161" s="111"/>
      <c r="SWS161" s="111"/>
      <c r="SWT161" s="111"/>
      <c r="SWU161" s="111"/>
      <c r="SWV161" s="111"/>
      <c r="SWW161" s="111"/>
      <c r="SWX161" s="111"/>
      <c r="SWY161" s="111"/>
      <c r="SWZ161" s="111"/>
      <c r="SXA161" s="111"/>
      <c r="SXB161" s="111"/>
      <c r="SXC161" s="111"/>
      <c r="SXD161" s="111"/>
      <c r="SXE161" s="111"/>
      <c r="SXF161" s="111"/>
      <c r="SXG161" s="111"/>
      <c r="SXH161" s="111"/>
      <c r="SXI161" s="111"/>
      <c r="SXJ161" s="111"/>
      <c r="SXK161" s="111"/>
      <c r="SXL161" s="111"/>
      <c r="SXM161" s="111"/>
      <c r="SXN161" s="111"/>
      <c r="SXO161" s="111"/>
      <c r="SXP161" s="111"/>
      <c r="SXQ161" s="111"/>
      <c r="SXR161" s="111"/>
      <c r="SXS161" s="111"/>
      <c r="SXT161" s="111"/>
      <c r="SXU161" s="111"/>
      <c r="SXV161" s="111"/>
      <c r="SXW161" s="111"/>
      <c r="SXX161" s="111"/>
      <c r="SXY161" s="111"/>
      <c r="SXZ161" s="111"/>
      <c r="SYA161" s="111"/>
      <c r="SYB161" s="111"/>
      <c r="SYC161" s="111"/>
      <c r="SYD161" s="111"/>
      <c r="SYE161" s="111"/>
      <c r="SYF161" s="111"/>
      <c r="SYG161" s="111"/>
      <c r="SYH161" s="111"/>
      <c r="SYI161" s="111"/>
      <c r="SYJ161" s="111"/>
      <c r="SYK161" s="111"/>
      <c r="SYL161" s="111"/>
      <c r="SYM161" s="111"/>
      <c r="SYN161" s="111"/>
      <c r="SYO161" s="111"/>
      <c r="SYP161" s="111"/>
      <c r="SYQ161" s="111"/>
      <c r="SYR161" s="111"/>
      <c r="SYS161" s="111"/>
      <c r="SYT161" s="111"/>
      <c r="SYU161" s="111"/>
      <c r="SYV161" s="111"/>
      <c r="SYW161" s="111"/>
      <c r="SYX161" s="111"/>
      <c r="SYY161" s="111"/>
      <c r="SYZ161" s="111"/>
      <c r="SZA161" s="111"/>
      <c r="SZB161" s="111"/>
      <c r="SZC161" s="111"/>
      <c r="SZD161" s="111"/>
      <c r="SZE161" s="111"/>
      <c r="SZF161" s="111"/>
      <c r="SZG161" s="111"/>
      <c r="SZH161" s="111"/>
      <c r="SZI161" s="111"/>
      <c r="SZJ161" s="111"/>
      <c r="SZK161" s="111"/>
      <c r="SZL161" s="111"/>
      <c r="SZM161" s="111"/>
      <c r="SZN161" s="111"/>
      <c r="SZO161" s="111"/>
      <c r="SZP161" s="111"/>
      <c r="SZQ161" s="111"/>
      <c r="SZR161" s="111"/>
      <c r="SZS161" s="111"/>
      <c r="SZT161" s="111"/>
      <c r="SZU161" s="111"/>
      <c r="SZV161" s="111"/>
      <c r="SZW161" s="111"/>
      <c r="SZX161" s="111"/>
      <c r="SZY161" s="111"/>
      <c r="SZZ161" s="111"/>
      <c r="TAA161" s="111"/>
      <c r="TAB161" s="111"/>
      <c r="TAC161" s="111"/>
      <c r="TAD161" s="111"/>
      <c r="TAE161" s="111"/>
      <c r="TAF161" s="111"/>
      <c r="TAG161" s="111"/>
      <c r="TAH161" s="111"/>
      <c r="TAI161" s="111"/>
      <c r="TAJ161" s="111"/>
      <c r="TAK161" s="111"/>
      <c r="TAL161" s="111"/>
      <c r="TAM161" s="111"/>
      <c r="TAN161" s="111"/>
      <c r="TAO161" s="111"/>
      <c r="TAP161" s="111"/>
      <c r="TAQ161" s="111"/>
      <c r="TAR161" s="111"/>
      <c r="TAS161" s="111"/>
      <c r="TAT161" s="111"/>
      <c r="TAU161" s="111"/>
      <c r="TAV161" s="111"/>
      <c r="TAW161" s="111"/>
      <c r="TAX161" s="111"/>
      <c r="TAY161" s="111"/>
      <c r="TAZ161" s="111"/>
      <c r="TBA161" s="111"/>
      <c r="TBB161" s="111"/>
      <c r="TBC161" s="111"/>
      <c r="TBD161" s="111"/>
      <c r="TBE161" s="111"/>
      <c r="TBF161" s="111"/>
      <c r="TBG161" s="111"/>
      <c r="TBH161" s="111"/>
      <c r="TBI161" s="111"/>
      <c r="TBJ161" s="111"/>
      <c r="TBK161" s="111"/>
      <c r="TBL161" s="111"/>
      <c r="TBM161" s="111"/>
      <c r="TBN161" s="111"/>
      <c r="TBO161" s="111"/>
      <c r="TBP161" s="111"/>
      <c r="TBQ161" s="111"/>
      <c r="TBR161" s="111"/>
      <c r="TBS161" s="111"/>
      <c r="TBT161" s="111"/>
      <c r="TBU161" s="111"/>
      <c r="TBV161" s="111"/>
      <c r="TBW161" s="111"/>
      <c r="TBX161" s="111"/>
      <c r="TBY161" s="111"/>
      <c r="TBZ161" s="111"/>
      <c r="TCA161" s="111"/>
      <c r="TCB161" s="111"/>
      <c r="TCC161" s="111"/>
      <c r="TCD161" s="111"/>
      <c r="TCE161" s="111"/>
      <c r="TCF161" s="111"/>
      <c r="TCG161" s="111"/>
      <c r="TCH161" s="111"/>
      <c r="TCI161" s="111"/>
      <c r="TCJ161" s="111"/>
      <c r="TCK161" s="111"/>
      <c r="TCL161" s="111"/>
      <c r="TCM161" s="111"/>
      <c r="TCN161" s="111"/>
      <c r="TCO161" s="111"/>
      <c r="TCP161" s="111"/>
      <c r="TCQ161" s="111"/>
      <c r="TCR161" s="111"/>
      <c r="TCS161" s="111"/>
      <c r="TCT161" s="111"/>
      <c r="TCU161" s="111"/>
      <c r="TCV161" s="111"/>
      <c r="TCW161" s="111"/>
      <c r="TCX161" s="111"/>
      <c r="TCY161" s="111"/>
      <c r="TCZ161" s="111"/>
      <c r="TDA161" s="111"/>
      <c r="TDB161" s="111"/>
      <c r="TDC161" s="111"/>
      <c r="TDD161" s="111"/>
      <c r="TDE161" s="111"/>
      <c r="TDF161" s="111"/>
      <c r="TDG161" s="111"/>
      <c r="TDH161" s="111"/>
      <c r="TDI161" s="111"/>
      <c r="TDJ161" s="111"/>
      <c r="TDK161" s="111"/>
      <c r="TDL161" s="111"/>
      <c r="TDM161" s="111"/>
      <c r="TDN161" s="111"/>
      <c r="TDO161" s="111"/>
      <c r="TDP161" s="111"/>
      <c r="TDQ161" s="111"/>
      <c r="TDR161" s="111"/>
      <c r="TDS161" s="111"/>
      <c r="TDT161" s="111"/>
      <c r="TDU161" s="111"/>
      <c r="TDV161" s="111"/>
      <c r="TDW161" s="111"/>
      <c r="TDX161" s="111"/>
      <c r="TDY161" s="111"/>
      <c r="TDZ161" s="111"/>
      <c r="TEA161" s="111"/>
      <c r="TEB161" s="111"/>
      <c r="TEC161" s="111"/>
      <c r="TED161" s="111"/>
      <c r="TEE161" s="111"/>
      <c r="TEF161" s="111"/>
      <c r="TEG161" s="111"/>
      <c r="TEH161" s="111"/>
      <c r="TEI161" s="111"/>
      <c r="TEJ161" s="111"/>
      <c r="TEK161" s="111"/>
      <c r="TEL161" s="111"/>
      <c r="TEM161" s="111"/>
      <c r="TEN161" s="111"/>
      <c r="TEO161" s="111"/>
      <c r="TEP161" s="111"/>
      <c r="TEQ161" s="111"/>
      <c r="TER161" s="111"/>
      <c r="TES161" s="111"/>
      <c r="TET161" s="111"/>
      <c r="TEU161" s="111"/>
      <c r="TEV161" s="111"/>
      <c r="TEW161" s="111"/>
      <c r="TEX161" s="111"/>
      <c r="TEY161" s="111"/>
      <c r="TEZ161" s="111"/>
      <c r="TFA161" s="111"/>
      <c r="TFB161" s="111"/>
      <c r="TFC161" s="111"/>
      <c r="TFD161" s="111"/>
      <c r="TFE161" s="111"/>
      <c r="TFF161" s="111"/>
      <c r="TFG161" s="111"/>
      <c r="TFH161" s="111"/>
      <c r="TFI161" s="111"/>
      <c r="TFJ161" s="111"/>
      <c r="TFK161" s="111"/>
      <c r="TFL161" s="111"/>
      <c r="TFM161" s="111"/>
      <c r="TFN161" s="111"/>
      <c r="TFO161" s="111"/>
      <c r="TFP161" s="111"/>
      <c r="TFQ161" s="111"/>
      <c r="TFR161" s="111"/>
      <c r="TFS161" s="111"/>
      <c r="TFT161" s="111"/>
      <c r="TFU161" s="111"/>
      <c r="TFV161" s="111"/>
      <c r="TFW161" s="111"/>
      <c r="TFX161" s="111"/>
      <c r="TFY161" s="111"/>
      <c r="TFZ161" s="111"/>
      <c r="TGA161" s="111"/>
      <c r="TGB161" s="111"/>
      <c r="TGC161" s="111"/>
      <c r="TGD161" s="111"/>
      <c r="TGE161" s="111"/>
      <c r="TGF161" s="111"/>
      <c r="TGG161" s="111"/>
      <c r="TGH161" s="111"/>
      <c r="TGI161" s="111"/>
      <c r="TGJ161" s="111"/>
      <c r="TGK161" s="111"/>
      <c r="TGL161" s="111"/>
      <c r="TGM161" s="111"/>
      <c r="TGN161" s="111"/>
      <c r="TGO161" s="111"/>
      <c r="TGP161" s="111"/>
      <c r="TGQ161" s="111"/>
      <c r="TGR161" s="111"/>
      <c r="TGS161" s="111"/>
      <c r="TGT161" s="111"/>
      <c r="TGU161" s="111"/>
      <c r="TGV161" s="111"/>
      <c r="TGW161" s="111"/>
      <c r="TGX161" s="111"/>
      <c r="TGY161" s="111"/>
      <c r="TGZ161" s="111"/>
      <c r="THA161" s="111"/>
      <c r="THB161" s="111"/>
      <c r="THC161" s="111"/>
      <c r="THD161" s="111"/>
      <c r="THE161" s="111"/>
      <c r="THF161" s="111"/>
      <c r="THG161" s="111"/>
      <c r="THH161" s="111"/>
      <c r="THI161" s="111"/>
      <c r="THJ161" s="111"/>
      <c r="THK161" s="111"/>
      <c r="THL161" s="111"/>
      <c r="THM161" s="111"/>
      <c r="THN161" s="111"/>
      <c r="THO161" s="111"/>
      <c r="THP161" s="111"/>
      <c r="THQ161" s="111"/>
      <c r="THR161" s="111"/>
      <c r="THS161" s="111"/>
      <c r="THT161" s="111"/>
      <c r="THU161" s="111"/>
      <c r="THV161" s="111"/>
      <c r="THW161" s="111"/>
      <c r="THX161" s="111"/>
      <c r="THY161" s="111"/>
      <c r="THZ161" s="111"/>
      <c r="TIA161" s="111"/>
      <c r="TIB161" s="111"/>
      <c r="TIC161" s="111"/>
      <c r="TID161" s="111"/>
      <c r="TIE161" s="111"/>
      <c r="TIF161" s="111"/>
      <c r="TIG161" s="111"/>
      <c r="TIH161" s="111"/>
      <c r="TII161" s="111"/>
      <c r="TIJ161" s="111"/>
      <c r="TIK161" s="111"/>
      <c r="TIL161" s="111"/>
      <c r="TIM161" s="111"/>
      <c r="TIN161" s="111"/>
      <c r="TIO161" s="111"/>
      <c r="TIP161" s="111"/>
      <c r="TIQ161" s="111"/>
      <c r="TIR161" s="111"/>
      <c r="TIS161" s="111"/>
      <c r="TIT161" s="111"/>
      <c r="TIU161" s="111"/>
      <c r="TIV161" s="111"/>
      <c r="TIW161" s="111"/>
      <c r="TIX161" s="111"/>
      <c r="TIY161" s="111"/>
      <c r="TIZ161" s="111"/>
      <c r="TJA161" s="111"/>
      <c r="TJB161" s="111"/>
      <c r="TJC161" s="111"/>
      <c r="TJD161" s="111"/>
      <c r="TJE161" s="111"/>
      <c r="TJF161" s="111"/>
      <c r="TJG161" s="111"/>
      <c r="TJH161" s="111"/>
      <c r="TJI161" s="111"/>
      <c r="TJJ161" s="111"/>
      <c r="TJK161" s="111"/>
      <c r="TJL161" s="111"/>
      <c r="TJM161" s="111"/>
      <c r="TJN161" s="111"/>
      <c r="TJO161" s="111"/>
      <c r="TJP161" s="111"/>
      <c r="TJQ161" s="111"/>
      <c r="TJR161" s="111"/>
      <c r="TJS161" s="111"/>
      <c r="TJT161" s="111"/>
      <c r="TJU161" s="111"/>
      <c r="TJV161" s="111"/>
      <c r="TJW161" s="111"/>
      <c r="TJX161" s="111"/>
      <c r="TJY161" s="111"/>
      <c r="TJZ161" s="111"/>
      <c r="TKA161" s="111"/>
      <c r="TKB161" s="111"/>
      <c r="TKC161" s="111"/>
      <c r="TKD161" s="111"/>
      <c r="TKE161" s="111"/>
      <c r="TKF161" s="111"/>
      <c r="TKG161" s="111"/>
      <c r="TKH161" s="111"/>
      <c r="TKI161" s="111"/>
      <c r="TKJ161" s="111"/>
      <c r="TKK161" s="111"/>
      <c r="TKL161" s="111"/>
      <c r="TKM161" s="111"/>
      <c r="TKN161" s="111"/>
      <c r="TKO161" s="111"/>
      <c r="TKP161" s="111"/>
      <c r="TKQ161" s="111"/>
      <c r="TKR161" s="111"/>
      <c r="TKS161" s="111"/>
      <c r="TKT161" s="111"/>
      <c r="TKU161" s="111"/>
      <c r="TKV161" s="111"/>
      <c r="TKW161" s="111"/>
      <c r="TKX161" s="111"/>
      <c r="TKY161" s="111"/>
      <c r="TKZ161" s="111"/>
      <c r="TLA161" s="111"/>
      <c r="TLB161" s="111"/>
      <c r="TLC161" s="111"/>
      <c r="TLD161" s="111"/>
      <c r="TLE161" s="111"/>
      <c r="TLF161" s="111"/>
      <c r="TLG161" s="111"/>
      <c r="TLH161" s="111"/>
      <c r="TLI161" s="111"/>
      <c r="TLJ161" s="111"/>
      <c r="TLK161" s="111"/>
      <c r="TLL161" s="111"/>
      <c r="TLM161" s="111"/>
      <c r="TLN161" s="111"/>
      <c r="TLO161" s="111"/>
      <c r="TLP161" s="111"/>
      <c r="TLQ161" s="111"/>
      <c r="TLR161" s="111"/>
      <c r="TLS161" s="111"/>
      <c r="TLT161" s="111"/>
      <c r="TLU161" s="111"/>
      <c r="TLV161" s="111"/>
      <c r="TLW161" s="111"/>
      <c r="TLX161" s="111"/>
      <c r="TLY161" s="111"/>
      <c r="TLZ161" s="111"/>
      <c r="TMA161" s="111"/>
      <c r="TMB161" s="111"/>
      <c r="TMC161" s="111"/>
      <c r="TMD161" s="111"/>
      <c r="TME161" s="111"/>
      <c r="TMF161" s="111"/>
      <c r="TMG161" s="111"/>
      <c r="TMH161" s="111"/>
      <c r="TMI161" s="111"/>
      <c r="TMJ161" s="111"/>
      <c r="TMK161" s="111"/>
      <c r="TML161" s="111"/>
      <c r="TMM161" s="111"/>
      <c r="TMN161" s="111"/>
      <c r="TMO161" s="111"/>
      <c r="TMP161" s="111"/>
      <c r="TMQ161" s="111"/>
      <c r="TMR161" s="111"/>
      <c r="TMS161" s="111"/>
      <c r="TMT161" s="111"/>
      <c r="TMU161" s="111"/>
      <c r="TMV161" s="111"/>
      <c r="TMW161" s="111"/>
      <c r="TMX161" s="111"/>
      <c r="TMY161" s="111"/>
      <c r="TMZ161" s="111"/>
      <c r="TNA161" s="111"/>
      <c r="TNB161" s="111"/>
      <c r="TNC161" s="111"/>
      <c r="TND161" s="111"/>
      <c r="TNE161" s="111"/>
      <c r="TNF161" s="111"/>
      <c r="TNG161" s="111"/>
      <c r="TNH161" s="111"/>
      <c r="TNI161" s="111"/>
      <c r="TNJ161" s="111"/>
      <c r="TNK161" s="111"/>
      <c r="TNL161" s="111"/>
      <c r="TNM161" s="111"/>
      <c r="TNN161" s="111"/>
      <c r="TNO161" s="111"/>
      <c r="TNP161" s="111"/>
      <c r="TNQ161" s="111"/>
      <c r="TNR161" s="111"/>
      <c r="TNS161" s="111"/>
      <c r="TNT161" s="111"/>
      <c r="TNU161" s="111"/>
      <c r="TNV161" s="111"/>
      <c r="TNW161" s="111"/>
      <c r="TNX161" s="111"/>
      <c r="TNY161" s="111"/>
      <c r="TNZ161" s="111"/>
      <c r="TOA161" s="111"/>
      <c r="TOB161" s="111"/>
      <c r="TOC161" s="111"/>
      <c r="TOD161" s="111"/>
      <c r="TOE161" s="111"/>
      <c r="TOF161" s="111"/>
      <c r="TOG161" s="111"/>
      <c r="TOH161" s="111"/>
      <c r="TOI161" s="111"/>
      <c r="TOJ161" s="111"/>
      <c r="TOK161" s="111"/>
      <c r="TOL161" s="111"/>
      <c r="TOM161" s="111"/>
      <c r="TON161" s="111"/>
      <c r="TOO161" s="111"/>
      <c r="TOP161" s="111"/>
      <c r="TOQ161" s="111"/>
      <c r="TOR161" s="111"/>
      <c r="TOS161" s="111"/>
      <c r="TOT161" s="111"/>
      <c r="TOU161" s="111"/>
      <c r="TOV161" s="111"/>
      <c r="TOW161" s="111"/>
      <c r="TOX161" s="111"/>
      <c r="TOY161" s="111"/>
      <c r="TOZ161" s="111"/>
      <c r="TPA161" s="111"/>
      <c r="TPB161" s="111"/>
      <c r="TPC161" s="111"/>
      <c r="TPD161" s="111"/>
      <c r="TPE161" s="111"/>
      <c r="TPF161" s="111"/>
      <c r="TPG161" s="111"/>
      <c r="TPH161" s="111"/>
      <c r="TPI161" s="111"/>
      <c r="TPJ161" s="111"/>
      <c r="TPK161" s="111"/>
      <c r="TPL161" s="111"/>
      <c r="TPM161" s="111"/>
      <c r="TPN161" s="111"/>
      <c r="TPO161" s="111"/>
      <c r="TPP161" s="111"/>
      <c r="TPQ161" s="111"/>
      <c r="TPR161" s="111"/>
      <c r="TPS161" s="111"/>
      <c r="TPT161" s="111"/>
      <c r="TPU161" s="111"/>
      <c r="TPV161" s="111"/>
      <c r="TPW161" s="111"/>
      <c r="TPX161" s="111"/>
      <c r="TPY161" s="111"/>
      <c r="TPZ161" s="111"/>
      <c r="TQA161" s="111"/>
      <c r="TQB161" s="111"/>
      <c r="TQC161" s="111"/>
      <c r="TQD161" s="111"/>
      <c r="TQE161" s="111"/>
      <c r="TQF161" s="111"/>
      <c r="TQG161" s="111"/>
      <c r="TQH161" s="111"/>
      <c r="TQI161" s="111"/>
      <c r="TQJ161" s="111"/>
      <c r="TQK161" s="111"/>
      <c r="TQL161" s="111"/>
      <c r="TQM161" s="111"/>
      <c r="TQN161" s="111"/>
      <c r="TQO161" s="111"/>
      <c r="TQP161" s="111"/>
      <c r="TQQ161" s="111"/>
      <c r="TQR161" s="111"/>
      <c r="TQS161" s="111"/>
      <c r="TQT161" s="111"/>
      <c r="TQU161" s="111"/>
      <c r="TQV161" s="111"/>
      <c r="TQW161" s="111"/>
      <c r="TQX161" s="111"/>
      <c r="TQY161" s="111"/>
      <c r="TQZ161" s="111"/>
      <c r="TRA161" s="111"/>
      <c r="TRB161" s="111"/>
      <c r="TRC161" s="111"/>
      <c r="TRD161" s="111"/>
      <c r="TRE161" s="111"/>
      <c r="TRF161" s="111"/>
      <c r="TRG161" s="111"/>
      <c r="TRH161" s="111"/>
      <c r="TRI161" s="111"/>
      <c r="TRJ161" s="111"/>
      <c r="TRK161" s="111"/>
      <c r="TRL161" s="111"/>
      <c r="TRM161" s="111"/>
      <c r="TRN161" s="111"/>
      <c r="TRO161" s="111"/>
      <c r="TRP161" s="111"/>
      <c r="TRQ161" s="111"/>
      <c r="TRR161" s="111"/>
      <c r="TRS161" s="111"/>
      <c r="TRT161" s="111"/>
      <c r="TRU161" s="111"/>
      <c r="TRV161" s="111"/>
      <c r="TRW161" s="111"/>
      <c r="TRX161" s="111"/>
      <c r="TRY161" s="111"/>
      <c r="TRZ161" s="111"/>
      <c r="TSA161" s="111"/>
      <c r="TSB161" s="111"/>
      <c r="TSC161" s="111"/>
      <c r="TSD161" s="111"/>
      <c r="TSE161" s="111"/>
      <c r="TSF161" s="111"/>
      <c r="TSG161" s="111"/>
      <c r="TSH161" s="111"/>
      <c r="TSI161" s="111"/>
      <c r="TSJ161" s="111"/>
      <c r="TSK161" s="111"/>
      <c r="TSL161" s="111"/>
      <c r="TSM161" s="111"/>
      <c r="TSN161" s="111"/>
      <c r="TSO161" s="111"/>
      <c r="TSP161" s="111"/>
      <c r="TSQ161" s="111"/>
      <c r="TSR161" s="111"/>
      <c r="TSS161" s="111"/>
      <c r="TST161" s="111"/>
      <c r="TSU161" s="111"/>
      <c r="TSV161" s="111"/>
      <c r="TSW161" s="111"/>
      <c r="TSX161" s="111"/>
      <c r="TSY161" s="111"/>
      <c r="TSZ161" s="111"/>
      <c r="TTA161" s="111"/>
      <c r="TTB161" s="111"/>
      <c r="TTC161" s="111"/>
      <c r="TTD161" s="111"/>
      <c r="TTE161" s="111"/>
      <c r="TTF161" s="111"/>
      <c r="TTG161" s="111"/>
      <c r="TTH161" s="111"/>
      <c r="TTI161" s="111"/>
      <c r="TTJ161" s="111"/>
      <c r="TTK161" s="111"/>
      <c r="TTL161" s="111"/>
      <c r="TTM161" s="111"/>
      <c r="TTN161" s="111"/>
      <c r="TTO161" s="111"/>
      <c r="TTP161" s="111"/>
      <c r="TTQ161" s="111"/>
      <c r="TTR161" s="111"/>
      <c r="TTS161" s="111"/>
      <c r="TTT161" s="111"/>
      <c r="TTU161" s="111"/>
      <c r="TTV161" s="111"/>
      <c r="TTW161" s="111"/>
      <c r="TTX161" s="111"/>
      <c r="TTY161" s="111"/>
      <c r="TTZ161" s="111"/>
      <c r="TUA161" s="111"/>
      <c r="TUB161" s="111"/>
      <c r="TUC161" s="111"/>
      <c r="TUD161" s="111"/>
      <c r="TUE161" s="111"/>
      <c r="TUF161" s="111"/>
      <c r="TUG161" s="111"/>
      <c r="TUH161" s="111"/>
      <c r="TUI161" s="111"/>
      <c r="TUJ161" s="111"/>
      <c r="TUK161" s="111"/>
      <c r="TUL161" s="111"/>
      <c r="TUM161" s="111"/>
      <c r="TUN161" s="111"/>
      <c r="TUO161" s="111"/>
      <c r="TUP161" s="111"/>
      <c r="TUQ161" s="111"/>
      <c r="TUR161" s="111"/>
      <c r="TUS161" s="111"/>
      <c r="TUT161" s="111"/>
      <c r="TUU161" s="111"/>
      <c r="TUV161" s="111"/>
      <c r="TUW161" s="111"/>
      <c r="TUX161" s="111"/>
      <c r="TUY161" s="111"/>
      <c r="TUZ161" s="111"/>
      <c r="TVA161" s="111"/>
      <c r="TVB161" s="111"/>
      <c r="TVC161" s="111"/>
      <c r="TVD161" s="111"/>
      <c r="TVE161" s="111"/>
      <c r="TVF161" s="111"/>
      <c r="TVG161" s="111"/>
      <c r="TVH161" s="111"/>
      <c r="TVI161" s="111"/>
      <c r="TVJ161" s="111"/>
      <c r="TVK161" s="111"/>
      <c r="TVL161" s="111"/>
      <c r="TVM161" s="111"/>
      <c r="TVN161" s="111"/>
      <c r="TVO161" s="111"/>
      <c r="TVP161" s="111"/>
      <c r="TVQ161" s="111"/>
      <c r="TVR161" s="111"/>
      <c r="TVS161" s="111"/>
      <c r="TVT161" s="111"/>
      <c r="TVU161" s="111"/>
      <c r="TVV161" s="111"/>
      <c r="TVW161" s="111"/>
      <c r="TVX161" s="111"/>
      <c r="TVY161" s="111"/>
      <c r="TVZ161" s="111"/>
      <c r="TWA161" s="111"/>
      <c r="TWB161" s="111"/>
      <c r="TWC161" s="111"/>
      <c r="TWD161" s="111"/>
      <c r="TWE161" s="111"/>
      <c r="TWF161" s="111"/>
      <c r="TWG161" s="111"/>
      <c r="TWH161" s="111"/>
      <c r="TWI161" s="111"/>
      <c r="TWJ161" s="111"/>
      <c r="TWK161" s="111"/>
      <c r="TWL161" s="111"/>
      <c r="TWM161" s="111"/>
      <c r="TWN161" s="111"/>
      <c r="TWO161" s="111"/>
      <c r="TWP161" s="111"/>
      <c r="TWQ161" s="111"/>
      <c r="TWR161" s="111"/>
      <c r="TWS161" s="111"/>
      <c r="TWT161" s="111"/>
      <c r="TWU161" s="111"/>
      <c r="TWV161" s="111"/>
      <c r="TWW161" s="111"/>
      <c r="TWX161" s="111"/>
      <c r="TWY161" s="111"/>
      <c r="TWZ161" s="111"/>
      <c r="TXA161" s="111"/>
      <c r="TXB161" s="111"/>
      <c r="TXC161" s="111"/>
      <c r="TXD161" s="111"/>
      <c r="TXE161" s="111"/>
      <c r="TXF161" s="111"/>
      <c r="TXG161" s="111"/>
      <c r="TXH161" s="111"/>
      <c r="TXI161" s="111"/>
      <c r="TXJ161" s="111"/>
      <c r="TXK161" s="111"/>
      <c r="TXL161" s="111"/>
      <c r="TXM161" s="111"/>
      <c r="TXN161" s="111"/>
      <c r="TXO161" s="111"/>
      <c r="TXP161" s="111"/>
      <c r="TXQ161" s="111"/>
      <c r="TXR161" s="111"/>
      <c r="TXS161" s="111"/>
      <c r="TXT161" s="111"/>
      <c r="TXU161" s="111"/>
      <c r="TXV161" s="111"/>
      <c r="TXW161" s="111"/>
      <c r="TXX161" s="111"/>
      <c r="TXY161" s="111"/>
      <c r="TXZ161" s="111"/>
      <c r="TYA161" s="111"/>
      <c r="TYB161" s="111"/>
      <c r="TYC161" s="111"/>
      <c r="TYD161" s="111"/>
      <c r="TYE161" s="111"/>
      <c r="TYF161" s="111"/>
      <c r="TYG161" s="111"/>
      <c r="TYH161" s="111"/>
      <c r="TYI161" s="111"/>
      <c r="TYJ161" s="111"/>
      <c r="TYK161" s="111"/>
      <c r="TYL161" s="111"/>
      <c r="TYM161" s="111"/>
      <c r="TYN161" s="111"/>
      <c r="TYO161" s="111"/>
      <c r="TYP161" s="111"/>
      <c r="TYQ161" s="111"/>
      <c r="TYR161" s="111"/>
      <c r="TYS161" s="111"/>
      <c r="TYT161" s="111"/>
      <c r="TYU161" s="111"/>
      <c r="TYV161" s="111"/>
      <c r="TYW161" s="111"/>
      <c r="TYX161" s="111"/>
      <c r="TYY161" s="111"/>
      <c r="TYZ161" s="111"/>
      <c r="TZA161" s="111"/>
      <c r="TZB161" s="111"/>
      <c r="TZC161" s="111"/>
      <c r="TZD161" s="111"/>
      <c r="TZE161" s="111"/>
      <c r="TZF161" s="111"/>
      <c r="TZG161" s="111"/>
      <c r="TZH161" s="111"/>
      <c r="TZI161" s="111"/>
      <c r="TZJ161" s="111"/>
      <c r="TZK161" s="111"/>
      <c r="TZL161" s="111"/>
      <c r="TZM161" s="111"/>
      <c r="TZN161" s="111"/>
      <c r="TZO161" s="111"/>
      <c r="TZP161" s="111"/>
      <c r="TZQ161" s="111"/>
      <c r="TZR161" s="111"/>
      <c r="TZS161" s="111"/>
      <c r="TZT161" s="111"/>
      <c r="TZU161" s="111"/>
      <c r="TZV161" s="111"/>
      <c r="TZW161" s="111"/>
      <c r="TZX161" s="111"/>
      <c r="TZY161" s="111"/>
      <c r="TZZ161" s="111"/>
      <c r="UAA161" s="111"/>
      <c r="UAB161" s="111"/>
      <c r="UAC161" s="111"/>
      <c r="UAD161" s="111"/>
      <c r="UAE161" s="111"/>
      <c r="UAF161" s="111"/>
      <c r="UAG161" s="111"/>
      <c r="UAH161" s="111"/>
      <c r="UAI161" s="111"/>
      <c r="UAJ161" s="111"/>
      <c r="UAK161" s="111"/>
      <c r="UAL161" s="111"/>
      <c r="UAM161" s="111"/>
      <c r="UAN161" s="111"/>
      <c r="UAO161" s="111"/>
      <c r="UAP161" s="111"/>
      <c r="UAQ161" s="111"/>
      <c r="UAR161" s="111"/>
      <c r="UAS161" s="111"/>
      <c r="UAT161" s="111"/>
      <c r="UAU161" s="111"/>
      <c r="UAV161" s="111"/>
      <c r="UAW161" s="111"/>
      <c r="UAX161" s="111"/>
      <c r="UAY161" s="111"/>
      <c r="UAZ161" s="111"/>
      <c r="UBA161" s="111"/>
      <c r="UBB161" s="111"/>
      <c r="UBC161" s="111"/>
      <c r="UBD161" s="111"/>
      <c r="UBE161" s="111"/>
      <c r="UBF161" s="111"/>
      <c r="UBG161" s="111"/>
      <c r="UBH161" s="111"/>
      <c r="UBI161" s="111"/>
      <c r="UBJ161" s="111"/>
      <c r="UBK161" s="111"/>
      <c r="UBL161" s="111"/>
      <c r="UBM161" s="111"/>
      <c r="UBN161" s="111"/>
      <c r="UBO161" s="111"/>
      <c r="UBP161" s="111"/>
      <c r="UBQ161" s="111"/>
      <c r="UBR161" s="111"/>
      <c r="UBS161" s="111"/>
      <c r="UBT161" s="111"/>
      <c r="UBU161" s="111"/>
      <c r="UBV161" s="111"/>
      <c r="UBW161" s="111"/>
      <c r="UBX161" s="111"/>
      <c r="UBY161" s="111"/>
      <c r="UBZ161" s="111"/>
      <c r="UCA161" s="111"/>
      <c r="UCB161" s="111"/>
      <c r="UCC161" s="111"/>
      <c r="UCD161" s="111"/>
      <c r="UCE161" s="111"/>
      <c r="UCF161" s="111"/>
      <c r="UCG161" s="111"/>
      <c r="UCH161" s="111"/>
      <c r="UCI161" s="111"/>
      <c r="UCJ161" s="111"/>
      <c r="UCK161" s="111"/>
      <c r="UCL161" s="111"/>
      <c r="UCM161" s="111"/>
      <c r="UCN161" s="111"/>
      <c r="UCO161" s="111"/>
      <c r="UCP161" s="111"/>
      <c r="UCQ161" s="111"/>
      <c r="UCR161" s="111"/>
      <c r="UCS161" s="111"/>
      <c r="UCT161" s="111"/>
      <c r="UCU161" s="111"/>
      <c r="UCV161" s="111"/>
      <c r="UCW161" s="111"/>
      <c r="UCX161" s="111"/>
      <c r="UCY161" s="111"/>
      <c r="UCZ161" s="111"/>
      <c r="UDA161" s="111"/>
      <c r="UDB161" s="111"/>
      <c r="UDC161" s="111"/>
      <c r="UDD161" s="111"/>
      <c r="UDE161" s="111"/>
      <c r="UDF161" s="111"/>
      <c r="UDG161" s="111"/>
      <c r="UDH161" s="111"/>
      <c r="UDI161" s="111"/>
      <c r="UDJ161" s="111"/>
      <c r="UDK161" s="111"/>
      <c r="UDL161" s="111"/>
      <c r="UDM161" s="111"/>
      <c r="UDN161" s="111"/>
      <c r="UDO161" s="111"/>
      <c r="UDP161" s="111"/>
      <c r="UDQ161" s="111"/>
      <c r="UDR161" s="111"/>
      <c r="UDS161" s="111"/>
      <c r="UDT161" s="111"/>
      <c r="UDU161" s="111"/>
      <c r="UDV161" s="111"/>
      <c r="UDW161" s="111"/>
      <c r="UDX161" s="111"/>
      <c r="UDY161" s="111"/>
      <c r="UDZ161" s="111"/>
      <c r="UEA161" s="111"/>
      <c r="UEB161" s="111"/>
      <c r="UEC161" s="111"/>
      <c r="UED161" s="111"/>
      <c r="UEE161" s="111"/>
      <c r="UEF161" s="111"/>
      <c r="UEG161" s="111"/>
      <c r="UEH161" s="111"/>
      <c r="UEI161" s="111"/>
      <c r="UEJ161" s="111"/>
      <c r="UEK161" s="111"/>
      <c r="UEL161" s="111"/>
      <c r="UEM161" s="111"/>
      <c r="UEN161" s="111"/>
      <c r="UEO161" s="111"/>
      <c r="UEP161" s="111"/>
      <c r="UEQ161" s="111"/>
      <c r="UER161" s="111"/>
      <c r="UES161" s="111"/>
      <c r="UET161" s="111"/>
      <c r="UEU161" s="111"/>
      <c r="UEV161" s="111"/>
      <c r="UEW161" s="111"/>
      <c r="UEX161" s="111"/>
      <c r="UEY161" s="111"/>
      <c r="UEZ161" s="111"/>
      <c r="UFA161" s="111"/>
      <c r="UFB161" s="111"/>
      <c r="UFC161" s="111"/>
      <c r="UFD161" s="111"/>
      <c r="UFE161" s="111"/>
      <c r="UFF161" s="111"/>
      <c r="UFG161" s="111"/>
      <c r="UFH161" s="111"/>
      <c r="UFI161" s="111"/>
      <c r="UFJ161" s="111"/>
      <c r="UFK161" s="111"/>
      <c r="UFL161" s="111"/>
      <c r="UFM161" s="111"/>
      <c r="UFN161" s="111"/>
      <c r="UFO161" s="111"/>
      <c r="UFP161" s="111"/>
      <c r="UFQ161" s="111"/>
      <c r="UFR161" s="111"/>
      <c r="UFS161" s="111"/>
      <c r="UFT161" s="111"/>
      <c r="UFU161" s="111"/>
      <c r="UFV161" s="111"/>
      <c r="UFW161" s="111"/>
      <c r="UFX161" s="111"/>
      <c r="UFY161" s="111"/>
      <c r="UFZ161" s="111"/>
      <c r="UGA161" s="111"/>
      <c r="UGB161" s="111"/>
      <c r="UGC161" s="111"/>
      <c r="UGD161" s="111"/>
      <c r="UGE161" s="111"/>
      <c r="UGF161" s="111"/>
      <c r="UGG161" s="111"/>
      <c r="UGH161" s="111"/>
      <c r="UGI161" s="111"/>
      <c r="UGJ161" s="111"/>
      <c r="UGK161" s="111"/>
      <c r="UGL161" s="111"/>
      <c r="UGM161" s="111"/>
      <c r="UGN161" s="111"/>
      <c r="UGO161" s="111"/>
      <c r="UGP161" s="111"/>
      <c r="UGQ161" s="111"/>
      <c r="UGR161" s="111"/>
      <c r="UGS161" s="111"/>
      <c r="UGT161" s="111"/>
      <c r="UGU161" s="111"/>
      <c r="UGV161" s="111"/>
      <c r="UGW161" s="111"/>
      <c r="UGX161" s="111"/>
      <c r="UGY161" s="111"/>
      <c r="UGZ161" s="111"/>
      <c r="UHA161" s="111"/>
      <c r="UHB161" s="111"/>
      <c r="UHC161" s="111"/>
      <c r="UHD161" s="111"/>
      <c r="UHE161" s="111"/>
      <c r="UHF161" s="111"/>
      <c r="UHG161" s="111"/>
      <c r="UHH161" s="111"/>
      <c r="UHI161" s="111"/>
      <c r="UHJ161" s="111"/>
      <c r="UHK161" s="111"/>
      <c r="UHL161" s="111"/>
      <c r="UHM161" s="111"/>
      <c r="UHN161" s="111"/>
      <c r="UHO161" s="111"/>
      <c r="UHP161" s="111"/>
      <c r="UHQ161" s="111"/>
      <c r="UHR161" s="111"/>
      <c r="UHS161" s="111"/>
      <c r="UHT161" s="111"/>
      <c r="UHU161" s="111"/>
      <c r="UHV161" s="111"/>
      <c r="UHW161" s="111"/>
      <c r="UHX161" s="111"/>
      <c r="UHY161" s="111"/>
      <c r="UHZ161" s="111"/>
      <c r="UIA161" s="111"/>
      <c r="UIB161" s="111"/>
      <c r="UIC161" s="111"/>
      <c r="UID161" s="111"/>
      <c r="UIE161" s="111"/>
      <c r="UIF161" s="111"/>
      <c r="UIG161" s="111"/>
      <c r="UIH161" s="111"/>
      <c r="UII161" s="111"/>
      <c r="UIJ161" s="111"/>
      <c r="UIK161" s="111"/>
      <c r="UIL161" s="111"/>
      <c r="UIM161" s="111"/>
      <c r="UIN161" s="111"/>
      <c r="UIO161" s="111"/>
      <c r="UIP161" s="111"/>
      <c r="UIQ161" s="111"/>
      <c r="UIR161" s="111"/>
      <c r="UIS161" s="111"/>
      <c r="UIT161" s="111"/>
      <c r="UIU161" s="111"/>
      <c r="UIV161" s="111"/>
      <c r="UIW161" s="111"/>
      <c r="UIX161" s="111"/>
      <c r="UIY161" s="111"/>
      <c r="UIZ161" s="111"/>
      <c r="UJA161" s="111"/>
      <c r="UJB161" s="111"/>
      <c r="UJC161" s="111"/>
      <c r="UJD161" s="111"/>
      <c r="UJE161" s="111"/>
      <c r="UJF161" s="111"/>
      <c r="UJG161" s="111"/>
      <c r="UJH161" s="111"/>
      <c r="UJI161" s="111"/>
      <c r="UJJ161" s="111"/>
      <c r="UJK161" s="111"/>
      <c r="UJL161" s="111"/>
      <c r="UJM161" s="111"/>
      <c r="UJN161" s="111"/>
      <c r="UJO161" s="111"/>
      <c r="UJP161" s="111"/>
      <c r="UJQ161" s="111"/>
      <c r="UJR161" s="111"/>
      <c r="UJS161" s="111"/>
      <c r="UJT161" s="111"/>
      <c r="UJU161" s="111"/>
      <c r="UJV161" s="111"/>
      <c r="UJW161" s="111"/>
      <c r="UJX161" s="111"/>
      <c r="UJY161" s="111"/>
      <c r="UJZ161" s="111"/>
      <c r="UKA161" s="111"/>
      <c r="UKB161" s="111"/>
      <c r="UKC161" s="111"/>
      <c r="UKD161" s="111"/>
      <c r="UKE161" s="111"/>
      <c r="UKF161" s="111"/>
      <c r="UKG161" s="111"/>
      <c r="UKH161" s="111"/>
      <c r="UKI161" s="111"/>
      <c r="UKJ161" s="111"/>
      <c r="UKK161" s="111"/>
      <c r="UKL161" s="111"/>
      <c r="UKM161" s="111"/>
      <c r="UKN161" s="111"/>
      <c r="UKO161" s="111"/>
      <c r="UKP161" s="111"/>
      <c r="UKQ161" s="111"/>
      <c r="UKR161" s="111"/>
      <c r="UKS161" s="111"/>
      <c r="UKT161" s="111"/>
      <c r="UKU161" s="111"/>
      <c r="UKV161" s="111"/>
      <c r="UKW161" s="111"/>
      <c r="UKX161" s="111"/>
      <c r="UKY161" s="111"/>
      <c r="UKZ161" s="111"/>
      <c r="ULA161" s="111"/>
      <c r="ULB161" s="111"/>
      <c r="ULC161" s="111"/>
      <c r="ULD161" s="111"/>
      <c r="ULE161" s="111"/>
      <c r="ULF161" s="111"/>
      <c r="ULG161" s="111"/>
      <c r="ULH161" s="111"/>
      <c r="ULI161" s="111"/>
      <c r="ULJ161" s="111"/>
      <c r="ULK161" s="111"/>
      <c r="ULL161" s="111"/>
      <c r="ULM161" s="111"/>
      <c r="ULN161" s="111"/>
      <c r="ULO161" s="111"/>
      <c r="ULP161" s="111"/>
      <c r="ULQ161" s="111"/>
      <c r="ULR161" s="111"/>
      <c r="ULS161" s="111"/>
      <c r="ULT161" s="111"/>
      <c r="ULU161" s="111"/>
      <c r="ULV161" s="111"/>
      <c r="ULW161" s="111"/>
      <c r="ULX161" s="111"/>
      <c r="ULY161" s="111"/>
      <c r="ULZ161" s="111"/>
      <c r="UMA161" s="111"/>
      <c r="UMB161" s="111"/>
      <c r="UMC161" s="111"/>
      <c r="UMD161" s="111"/>
      <c r="UME161" s="111"/>
      <c r="UMF161" s="111"/>
      <c r="UMG161" s="111"/>
      <c r="UMH161" s="111"/>
      <c r="UMI161" s="111"/>
      <c r="UMJ161" s="111"/>
      <c r="UMK161" s="111"/>
      <c r="UML161" s="111"/>
      <c r="UMM161" s="111"/>
      <c r="UMN161" s="111"/>
      <c r="UMO161" s="111"/>
      <c r="UMP161" s="111"/>
      <c r="UMQ161" s="111"/>
      <c r="UMR161" s="111"/>
      <c r="UMS161" s="111"/>
      <c r="UMT161" s="111"/>
      <c r="UMU161" s="111"/>
      <c r="UMV161" s="111"/>
      <c r="UMW161" s="111"/>
      <c r="UMX161" s="111"/>
      <c r="UMY161" s="111"/>
      <c r="UMZ161" s="111"/>
      <c r="UNA161" s="111"/>
      <c r="UNB161" s="111"/>
      <c r="UNC161" s="111"/>
      <c r="UND161" s="111"/>
      <c r="UNE161" s="111"/>
      <c r="UNF161" s="111"/>
      <c r="UNG161" s="111"/>
      <c r="UNH161" s="111"/>
      <c r="UNI161" s="111"/>
      <c r="UNJ161" s="111"/>
      <c r="UNK161" s="111"/>
      <c r="UNL161" s="111"/>
      <c r="UNM161" s="111"/>
      <c r="UNN161" s="111"/>
      <c r="UNO161" s="111"/>
      <c r="UNP161" s="111"/>
      <c r="UNQ161" s="111"/>
      <c r="UNR161" s="111"/>
      <c r="UNS161" s="111"/>
      <c r="UNT161" s="111"/>
      <c r="UNU161" s="111"/>
      <c r="UNV161" s="111"/>
      <c r="UNW161" s="111"/>
      <c r="UNX161" s="111"/>
      <c r="UNY161" s="111"/>
      <c r="UNZ161" s="111"/>
      <c r="UOA161" s="111"/>
      <c r="UOB161" s="111"/>
      <c r="UOC161" s="111"/>
      <c r="UOD161" s="111"/>
      <c r="UOE161" s="111"/>
      <c r="UOF161" s="111"/>
      <c r="UOG161" s="111"/>
      <c r="UOH161" s="111"/>
      <c r="UOI161" s="111"/>
      <c r="UOJ161" s="111"/>
      <c r="UOK161" s="111"/>
      <c r="UOL161" s="111"/>
      <c r="UOM161" s="111"/>
      <c r="UON161" s="111"/>
      <c r="UOO161" s="111"/>
      <c r="UOP161" s="111"/>
      <c r="UOQ161" s="111"/>
      <c r="UOR161" s="111"/>
      <c r="UOS161" s="111"/>
      <c r="UOT161" s="111"/>
      <c r="UOU161" s="111"/>
      <c r="UOV161" s="111"/>
      <c r="UOW161" s="111"/>
      <c r="UOX161" s="111"/>
      <c r="UOY161" s="111"/>
      <c r="UOZ161" s="111"/>
      <c r="UPA161" s="111"/>
      <c r="UPB161" s="111"/>
      <c r="UPC161" s="111"/>
      <c r="UPD161" s="111"/>
      <c r="UPE161" s="111"/>
      <c r="UPF161" s="111"/>
      <c r="UPG161" s="111"/>
      <c r="UPH161" s="111"/>
      <c r="UPI161" s="111"/>
      <c r="UPJ161" s="111"/>
      <c r="UPK161" s="111"/>
      <c r="UPL161" s="111"/>
      <c r="UPM161" s="111"/>
      <c r="UPN161" s="111"/>
      <c r="UPO161" s="111"/>
      <c r="UPP161" s="111"/>
      <c r="UPQ161" s="111"/>
      <c r="UPR161" s="111"/>
      <c r="UPS161" s="111"/>
      <c r="UPT161" s="111"/>
      <c r="UPU161" s="111"/>
      <c r="UPV161" s="111"/>
      <c r="UPW161" s="111"/>
      <c r="UPX161" s="111"/>
      <c r="UPY161" s="111"/>
      <c r="UPZ161" s="111"/>
      <c r="UQA161" s="111"/>
      <c r="UQB161" s="111"/>
      <c r="UQC161" s="111"/>
      <c r="UQD161" s="111"/>
      <c r="UQE161" s="111"/>
      <c r="UQF161" s="111"/>
      <c r="UQG161" s="111"/>
      <c r="UQH161" s="111"/>
      <c r="UQI161" s="111"/>
      <c r="UQJ161" s="111"/>
      <c r="UQK161" s="111"/>
      <c r="UQL161" s="111"/>
      <c r="UQM161" s="111"/>
      <c r="UQN161" s="111"/>
      <c r="UQO161" s="111"/>
      <c r="UQP161" s="111"/>
      <c r="UQQ161" s="111"/>
      <c r="UQR161" s="111"/>
      <c r="UQS161" s="111"/>
      <c r="UQT161" s="111"/>
      <c r="UQU161" s="111"/>
      <c r="UQV161" s="111"/>
      <c r="UQW161" s="111"/>
      <c r="UQX161" s="111"/>
      <c r="UQY161" s="111"/>
      <c r="UQZ161" s="111"/>
      <c r="URA161" s="111"/>
      <c r="URB161" s="111"/>
      <c r="URC161" s="111"/>
      <c r="URD161" s="111"/>
      <c r="URE161" s="111"/>
      <c r="URF161" s="111"/>
      <c r="URG161" s="111"/>
      <c r="URH161" s="111"/>
      <c r="URI161" s="111"/>
      <c r="URJ161" s="111"/>
      <c r="URK161" s="111"/>
      <c r="URL161" s="111"/>
      <c r="URM161" s="111"/>
      <c r="URN161" s="111"/>
      <c r="URO161" s="111"/>
      <c r="URP161" s="111"/>
      <c r="URQ161" s="111"/>
      <c r="URR161" s="111"/>
      <c r="URS161" s="111"/>
      <c r="URT161" s="111"/>
      <c r="URU161" s="111"/>
      <c r="URV161" s="111"/>
      <c r="URW161" s="111"/>
      <c r="URX161" s="111"/>
      <c r="URY161" s="111"/>
      <c r="URZ161" s="111"/>
      <c r="USA161" s="111"/>
      <c r="USB161" s="111"/>
      <c r="USC161" s="111"/>
      <c r="USD161" s="111"/>
      <c r="USE161" s="111"/>
      <c r="USF161" s="111"/>
      <c r="USG161" s="111"/>
      <c r="USH161" s="111"/>
      <c r="USI161" s="111"/>
      <c r="USJ161" s="111"/>
      <c r="USK161" s="111"/>
      <c r="USL161" s="111"/>
      <c r="USM161" s="111"/>
      <c r="USN161" s="111"/>
      <c r="USO161" s="111"/>
      <c r="USP161" s="111"/>
      <c r="USQ161" s="111"/>
      <c r="USR161" s="111"/>
      <c r="USS161" s="111"/>
      <c r="UST161" s="111"/>
      <c r="USU161" s="111"/>
      <c r="USV161" s="111"/>
      <c r="USW161" s="111"/>
      <c r="USX161" s="111"/>
      <c r="USY161" s="111"/>
      <c r="USZ161" s="111"/>
      <c r="UTA161" s="111"/>
      <c r="UTB161" s="111"/>
      <c r="UTC161" s="111"/>
      <c r="UTD161" s="111"/>
      <c r="UTE161" s="111"/>
      <c r="UTF161" s="111"/>
      <c r="UTG161" s="111"/>
      <c r="UTH161" s="111"/>
      <c r="UTI161" s="111"/>
      <c r="UTJ161" s="111"/>
      <c r="UTK161" s="111"/>
      <c r="UTL161" s="111"/>
      <c r="UTM161" s="111"/>
      <c r="UTN161" s="111"/>
      <c r="UTO161" s="111"/>
      <c r="UTP161" s="111"/>
      <c r="UTQ161" s="111"/>
      <c r="UTR161" s="111"/>
      <c r="UTS161" s="111"/>
      <c r="UTT161" s="111"/>
      <c r="UTU161" s="111"/>
      <c r="UTV161" s="111"/>
      <c r="UTW161" s="111"/>
      <c r="UTX161" s="111"/>
      <c r="UTY161" s="111"/>
      <c r="UTZ161" s="111"/>
      <c r="UUA161" s="111"/>
      <c r="UUB161" s="111"/>
      <c r="UUC161" s="111"/>
      <c r="UUD161" s="111"/>
      <c r="UUE161" s="111"/>
      <c r="UUF161" s="111"/>
      <c r="UUG161" s="111"/>
      <c r="UUH161" s="111"/>
      <c r="UUI161" s="111"/>
      <c r="UUJ161" s="111"/>
      <c r="UUK161" s="111"/>
      <c r="UUL161" s="111"/>
      <c r="UUM161" s="111"/>
      <c r="UUN161" s="111"/>
      <c r="UUO161" s="111"/>
      <c r="UUP161" s="111"/>
      <c r="UUQ161" s="111"/>
      <c r="UUR161" s="111"/>
      <c r="UUS161" s="111"/>
      <c r="UUT161" s="111"/>
      <c r="UUU161" s="111"/>
      <c r="UUV161" s="111"/>
      <c r="UUW161" s="111"/>
      <c r="UUX161" s="111"/>
      <c r="UUY161" s="111"/>
      <c r="UUZ161" s="111"/>
      <c r="UVA161" s="111"/>
      <c r="UVB161" s="111"/>
      <c r="UVC161" s="111"/>
      <c r="UVD161" s="111"/>
      <c r="UVE161" s="111"/>
      <c r="UVF161" s="111"/>
      <c r="UVG161" s="111"/>
      <c r="UVH161" s="111"/>
      <c r="UVI161" s="111"/>
      <c r="UVJ161" s="111"/>
      <c r="UVK161" s="111"/>
      <c r="UVL161" s="111"/>
      <c r="UVM161" s="111"/>
      <c r="UVN161" s="111"/>
      <c r="UVO161" s="111"/>
      <c r="UVP161" s="111"/>
      <c r="UVQ161" s="111"/>
      <c r="UVR161" s="111"/>
      <c r="UVS161" s="111"/>
      <c r="UVT161" s="111"/>
      <c r="UVU161" s="111"/>
      <c r="UVV161" s="111"/>
      <c r="UVW161" s="111"/>
      <c r="UVX161" s="111"/>
      <c r="UVY161" s="111"/>
      <c r="UVZ161" s="111"/>
      <c r="UWA161" s="111"/>
      <c r="UWB161" s="111"/>
      <c r="UWC161" s="111"/>
      <c r="UWD161" s="111"/>
      <c r="UWE161" s="111"/>
      <c r="UWF161" s="111"/>
      <c r="UWG161" s="111"/>
      <c r="UWH161" s="111"/>
      <c r="UWI161" s="111"/>
      <c r="UWJ161" s="111"/>
      <c r="UWK161" s="111"/>
      <c r="UWL161" s="111"/>
      <c r="UWM161" s="111"/>
      <c r="UWN161" s="111"/>
      <c r="UWO161" s="111"/>
      <c r="UWP161" s="111"/>
      <c r="UWQ161" s="111"/>
      <c r="UWR161" s="111"/>
      <c r="UWS161" s="111"/>
      <c r="UWT161" s="111"/>
      <c r="UWU161" s="111"/>
      <c r="UWV161" s="111"/>
      <c r="UWW161" s="111"/>
      <c r="UWX161" s="111"/>
      <c r="UWY161" s="111"/>
      <c r="UWZ161" s="111"/>
      <c r="UXA161" s="111"/>
      <c r="UXB161" s="111"/>
      <c r="UXC161" s="111"/>
      <c r="UXD161" s="111"/>
      <c r="UXE161" s="111"/>
      <c r="UXF161" s="111"/>
      <c r="UXG161" s="111"/>
      <c r="UXH161" s="111"/>
      <c r="UXI161" s="111"/>
      <c r="UXJ161" s="111"/>
      <c r="UXK161" s="111"/>
      <c r="UXL161" s="111"/>
      <c r="UXM161" s="111"/>
      <c r="UXN161" s="111"/>
      <c r="UXO161" s="111"/>
      <c r="UXP161" s="111"/>
      <c r="UXQ161" s="111"/>
      <c r="UXR161" s="111"/>
      <c r="UXS161" s="111"/>
      <c r="UXT161" s="111"/>
      <c r="UXU161" s="111"/>
      <c r="UXV161" s="111"/>
      <c r="UXW161" s="111"/>
      <c r="UXX161" s="111"/>
      <c r="UXY161" s="111"/>
      <c r="UXZ161" s="111"/>
      <c r="UYA161" s="111"/>
      <c r="UYB161" s="111"/>
      <c r="UYC161" s="111"/>
      <c r="UYD161" s="111"/>
      <c r="UYE161" s="111"/>
      <c r="UYF161" s="111"/>
      <c r="UYG161" s="111"/>
      <c r="UYH161" s="111"/>
      <c r="UYI161" s="111"/>
      <c r="UYJ161" s="111"/>
      <c r="UYK161" s="111"/>
      <c r="UYL161" s="111"/>
      <c r="UYM161" s="111"/>
      <c r="UYN161" s="111"/>
      <c r="UYO161" s="111"/>
      <c r="UYP161" s="111"/>
      <c r="UYQ161" s="111"/>
      <c r="UYR161" s="111"/>
      <c r="UYS161" s="111"/>
      <c r="UYT161" s="111"/>
      <c r="UYU161" s="111"/>
      <c r="UYV161" s="111"/>
      <c r="UYW161" s="111"/>
      <c r="UYX161" s="111"/>
      <c r="UYY161" s="111"/>
      <c r="UYZ161" s="111"/>
      <c r="UZA161" s="111"/>
      <c r="UZB161" s="111"/>
      <c r="UZC161" s="111"/>
      <c r="UZD161" s="111"/>
      <c r="UZE161" s="111"/>
      <c r="UZF161" s="111"/>
      <c r="UZG161" s="111"/>
      <c r="UZH161" s="111"/>
      <c r="UZI161" s="111"/>
      <c r="UZJ161" s="111"/>
      <c r="UZK161" s="111"/>
      <c r="UZL161" s="111"/>
      <c r="UZM161" s="111"/>
      <c r="UZN161" s="111"/>
      <c r="UZO161" s="111"/>
      <c r="UZP161" s="111"/>
      <c r="UZQ161" s="111"/>
      <c r="UZR161" s="111"/>
      <c r="UZS161" s="111"/>
      <c r="UZT161" s="111"/>
      <c r="UZU161" s="111"/>
      <c r="UZV161" s="111"/>
      <c r="UZW161" s="111"/>
      <c r="UZX161" s="111"/>
      <c r="UZY161" s="111"/>
      <c r="UZZ161" s="111"/>
      <c r="VAA161" s="111"/>
      <c r="VAB161" s="111"/>
      <c r="VAC161" s="111"/>
      <c r="VAD161" s="111"/>
      <c r="VAE161" s="111"/>
      <c r="VAF161" s="111"/>
      <c r="VAG161" s="111"/>
      <c r="VAH161" s="111"/>
      <c r="VAI161" s="111"/>
      <c r="VAJ161" s="111"/>
      <c r="VAK161" s="111"/>
      <c r="VAL161" s="111"/>
      <c r="VAM161" s="111"/>
      <c r="VAN161" s="111"/>
      <c r="VAO161" s="111"/>
      <c r="VAP161" s="111"/>
      <c r="VAQ161" s="111"/>
      <c r="VAR161" s="111"/>
      <c r="VAS161" s="111"/>
      <c r="VAT161" s="111"/>
      <c r="VAU161" s="111"/>
      <c r="VAV161" s="111"/>
      <c r="VAW161" s="111"/>
      <c r="VAX161" s="111"/>
      <c r="VAY161" s="111"/>
      <c r="VAZ161" s="111"/>
      <c r="VBA161" s="111"/>
      <c r="VBB161" s="111"/>
      <c r="VBC161" s="111"/>
      <c r="VBD161" s="111"/>
      <c r="VBE161" s="111"/>
      <c r="VBF161" s="111"/>
      <c r="VBG161" s="111"/>
      <c r="VBH161" s="111"/>
      <c r="VBI161" s="111"/>
      <c r="VBJ161" s="111"/>
      <c r="VBK161" s="111"/>
      <c r="VBL161" s="111"/>
      <c r="VBM161" s="111"/>
      <c r="VBN161" s="111"/>
      <c r="VBO161" s="111"/>
      <c r="VBP161" s="111"/>
      <c r="VBQ161" s="111"/>
      <c r="VBR161" s="111"/>
      <c r="VBS161" s="111"/>
      <c r="VBT161" s="111"/>
      <c r="VBU161" s="111"/>
      <c r="VBV161" s="111"/>
      <c r="VBW161" s="111"/>
      <c r="VBX161" s="111"/>
      <c r="VBY161" s="111"/>
      <c r="VBZ161" s="111"/>
      <c r="VCA161" s="111"/>
      <c r="VCB161" s="111"/>
      <c r="VCC161" s="111"/>
      <c r="VCD161" s="111"/>
      <c r="VCE161" s="111"/>
      <c r="VCF161" s="111"/>
      <c r="VCG161" s="111"/>
      <c r="VCH161" s="111"/>
      <c r="VCI161" s="111"/>
      <c r="VCJ161" s="111"/>
      <c r="VCK161" s="111"/>
      <c r="VCL161" s="111"/>
      <c r="VCM161" s="111"/>
      <c r="VCN161" s="111"/>
      <c r="VCO161" s="111"/>
      <c r="VCP161" s="111"/>
      <c r="VCQ161" s="111"/>
      <c r="VCR161" s="111"/>
      <c r="VCS161" s="111"/>
      <c r="VCT161" s="111"/>
      <c r="VCU161" s="111"/>
      <c r="VCV161" s="111"/>
      <c r="VCW161" s="111"/>
      <c r="VCX161" s="111"/>
      <c r="VCY161" s="111"/>
      <c r="VCZ161" s="111"/>
      <c r="VDA161" s="111"/>
      <c r="VDB161" s="111"/>
      <c r="VDC161" s="111"/>
      <c r="VDD161" s="111"/>
      <c r="VDE161" s="111"/>
      <c r="VDF161" s="111"/>
      <c r="VDG161" s="111"/>
      <c r="VDH161" s="111"/>
      <c r="VDI161" s="111"/>
      <c r="VDJ161" s="111"/>
      <c r="VDK161" s="111"/>
      <c r="VDL161" s="111"/>
      <c r="VDM161" s="111"/>
      <c r="VDN161" s="111"/>
      <c r="VDO161" s="111"/>
      <c r="VDP161" s="111"/>
      <c r="VDQ161" s="111"/>
      <c r="VDR161" s="111"/>
      <c r="VDS161" s="111"/>
      <c r="VDT161" s="111"/>
      <c r="VDU161" s="111"/>
      <c r="VDV161" s="111"/>
      <c r="VDW161" s="111"/>
      <c r="VDX161" s="111"/>
      <c r="VDY161" s="111"/>
      <c r="VDZ161" s="111"/>
      <c r="VEA161" s="111"/>
      <c r="VEB161" s="111"/>
      <c r="VEC161" s="111"/>
      <c r="VED161" s="111"/>
      <c r="VEE161" s="111"/>
      <c r="VEF161" s="111"/>
      <c r="VEG161" s="111"/>
      <c r="VEH161" s="111"/>
      <c r="VEI161" s="111"/>
      <c r="VEJ161" s="111"/>
      <c r="VEK161" s="111"/>
      <c r="VEL161" s="111"/>
      <c r="VEM161" s="111"/>
      <c r="VEN161" s="111"/>
      <c r="VEO161" s="111"/>
      <c r="VEP161" s="111"/>
      <c r="VEQ161" s="111"/>
      <c r="VER161" s="111"/>
      <c r="VES161" s="111"/>
      <c r="VET161" s="111"/>
      <c r="VEU161" s="111"/>
      <c r="VEV161" s="111"/>
      <c r="VEW161" s="111"/>
      <c r="VEX161" s="111"/>
      <c r="VEY161" s="111"/>
      <c r="VEZ161" s="111"/>
      <c r="VFA161" s="111"/>
      <c r="VFB161" s="111"/>
      <c r="VFC161" s="111"/>
      <c r="VFD161" s="111"/>
      <c r="VFE161" s="111"/>
      <c r="VFF161" s="111"/>
      <c r="VFG161" s="111"/>
      <c r="VFH161" s="111"/>
      <c r="VFI161" s="111"/>
      <c r="VFJ161" s="111"/>
      <c r="VFK161" s="111"/>
      <c r="VFL161" s="111"/>
      <c r="VFM161" s="111"/>
      <c r="VFN161" s="111"/>
      <c r="VFO161" s="111"/>
      <c r="VFP161" s="111"/>
      <c r="VFQ161" s="111"/>
      <c r="VFR161" s="111"/>
      <c r="VFS161" s="111"/>
      <c r="VFT161" s="111"/>
      <c r="VFU161" s="111"/>
      <c r="VFV161" s="111"/>
      <c r="VFW161" s="111"/>
      <c r="VFX161" s="111"/>
      <c r="VFY161" s="111"/>
      <c r="VFZ161" s="111"/>
      <c r="VGA161" s="111"/>
      <c r="VGB161" s="111"/>
      <c r="VGC161" s="111"/>
      <c r="VGD161" s="111"/>
      <c r="VGE161" s="111"/>
      <c r="VGF161" s="111"/>
      <c r="VGG161" s="111"/>
      <c r="VGH161" s="111"/>
      <c r="VGI161" s="111"/>
      <c r="VGJ161" s="111"/>
      <c r="VGK161" s="111"/>
      <c r="VGL161" s="111"/>
      <c r="VGM161" s="111"/>
      <c r="VGN161" s="111"/>
      <c r="VGO161" s="111"/>
      <c r="VGP161" s="111"/>
      <c r="VGQ161" s="111"/>
      <c r="VGR161" s="111"/>
      <c r="VGS161" s="111"/>
      <c r="VGT161" s="111"/>
      <c r="VGU161" s="111"/>
      <c r="VGV161" s="111"/>
      <c r="VGW161" s="111"/>
      <c r="VGX161" s="111"/>
      <c r="VGY161" s="111"/>
      <c r="VGZ161" s="111"/>
      <c r="VHA161" s="111"/>
      <c r="VHB161" s="111"/>
      <c r="VHC161" s="111"/>
      <c r="VHD161" s="111"/>
      <c r="VHE161" s="111"/>
      <c r="VHF161" s="111"/>
      <c r="VHG161" s="111"/>
      <c r="VHH161" s="111"/>
      <c r="VHI161" s="111"/>
      <c r="VHJ161" s="111"/>
      <c r="VHK161" s="111"/>
      <c r="VHL161" s="111"/>
      <c r="VHM161" s="111"/>
      <c r="VHN161" s="111"/>
      <c r="VHO161" s="111"/>
      <c r="VHP161" s="111"/>
      <c r="VHQ161" s="111"/>
      <c r="VHR161" s="111"/>
      <c r="VHS161" s="111"/>
      <c r="VHT161" s="111"/>
      <c r="VHU161" s="111"/>
      <c r="VHV161" s="111"/>
      <c r="VHW161" s="111"/>
      <c r="VHX161" s="111"/>
      <c r="VHY161" s="111"/>
      <c r="VHZ161" s="111"/>
      <c r="VIA161" s="111"/>
      <c r="VIB161" s="111"/>
      <c r="VIC161" s="111"/>
      <c r="VID161" s="111"/>
      <c r="VIE161" s="111"/>
      <c r="VIF161" s="111"/>
      <c r="VIG161" s="111"/>
      <c r="VIH161" s="111"/>
      <c r="VII161" s="111"/>
      <c r="VIJ161" s="111"/>
      <c r="VIK161" s="111"/>
      <c r="VIL161" s="111"/>
      <c r="VIM161" s="111"/>
      <c r="VIN161" s="111"/>
      <c r="VIO161" s="111"/>
      <c r="VIP161" s="111"/>
      <c r="VIQ161" s="111"/>
      <c r="VIR161" s="111"/>
      <c r="VIS161" s="111"/>
      <c r="VIT161" s="111"/>
      <c r="VIU161" s="111"/>
      <c r="VIV161" s="111"/>
      <c r="VIW161" s="111"/>
      <c r="VIX161" s="111"/>
      <c r="VIY161" s="111"/>
      <c r="VIZ161" s="111"/>
      <c r="VJA161" s="111"/>
      <c r="VJB161" s="111"/>
      <c r="VJC161" s="111"/>
      <c r="VJD161" s="111"/>
      <c r="VJE161" s="111"/>
      <c r="VJF161" s="111"/>
      <c r="VJG161" s="111"/>
      <c r="VJH161" s="111"/>
      <c r="VJI161" s="111"/>
      <c r="VJJ161" s="111"/>
      <c r="VJK161" s="111"/>
      <c r="VJL161" s="111"/>
      <c r="VJM161" s="111"/>
      <c r="VJN161" s="111"/>
      <c r="VJO161" s="111"/>
      <c r="VJP161" s="111"/>
      <c r="VJQ161" s="111"/>
      <c r="VJR161" s="111"/>
      <c r="VJS161" s="111"/>
      <c r="VJT161" s="111"/>
      <c r="VJU161" s="111"/>
      <c r="VJV161" s="111"/>
      <c r="VJW161" s="111"/>
      <c r="VJX161" s="111"/>
      <c r="VJY161" s="111"/>
      <c r="VJZ161" s="111"/>
      <c r="VKA161" s="111"/>
      <c r="VKB161" s="111"/>
      <c r="VKC161" s="111"/>
      <c r="VKD161" s="111"/>
      <c r="VKE161" s="111"/>
      <c r="VKF161" s="111"/>
      <c r="VKG161" s="111"/>
      <c r="VKH161" s="111"/>
      <c r="VKI161" s="111"/>
      <c r="VKJ161" s="111"/>
      <c r="VKK161" s="111"/>
      <c r="VKL161" s="111"/>
      <c r="VKM161" s="111"/>
      <c r="VKN161" s="111"/>
      <c r="VKO161" s="111"/>
      <c r="VKP161" s="111"/>
      <c r="VKQ161" s="111"/>
      <c r="VKR161" s="111"/>
      <c r="VKS161" s="111"/>
      <c r="VKT161" s="111"/>
      <c r="VKU161" s="111"/>
      <c r="VKV161" s="111"/>
      <c r="VKW161" s="111"/>
      <c r="VKX161" s="111"/>
      <c r="VKY161" s="111"/>
      <c r="VKZ161" s="111"/>
      <c r="VLA161" s="111"/>
      <c r="VLB161" s="111"/>
      <c r="VLC161" s="111"/>
      <c r="VLD161" s="111"/>
      <c r="VLE161" s="111"/>
      <c r="VLF161" s="111"/>
      <c r="VLG161" s="111"/>
      <c r="VLH161" s="111"/>
      <c r="VLI161" s="111"/>
      <c r="VLJ161" s="111"/>
      <c r="VLK161" s="111"/>
      <c r="VLL161" s="111"/>
      <c r="VLM161" s="111"/>
      <c r="VLN161" s="111"/>
      <c r="VLO161" s="111"/>
      <c r="VLP161" s="111"/>
      <c r="VLQ161" s="111"/>
      <c r="VLR161" s="111"/>
      <c r="VLS161" s="111"/>
      <c r="VLT161" s="111"/>
      <c r="VLU161" s="111"/>
      <c r="VLV161" s="111"/>
      <c r="VLW161" s="111"/>
      <c r="VLX161" s="111"/>
      <c r="VLY161" s="111"/>
      <c r="VLZ161" s="111"/>
      <c r="VMA161" s="111"/>
      <c r="VMB161" s="111"/>
      <c r="VMC161" s="111"/>
      <c r="VMD161" s="111"/>
      <c r="VME161" s="111"/>
      <c r="VMF161" s="111"/>
      <c r="VMG161" s="111"/>
      <c r="VMH161" s="111"/>
      <c r="VMI161" s="111"/>
      <c r="VMJ161" s="111"/>
      <c r="VMK161" s="111"/>
      <c r="VML161" s="111"/>
      <c r="VMM161" s="111"/>
      <c r="VMN161" s="111"/>
      <c r="VMO161" s="111"/>
      <c r="VMP161" s="111"/>
      <c r="VMQ161" s="111"/>
      <c r="VMR161" s="111"/>
      <c r="VMS161" s="111"/>
      <c r="VMT161" s="111"/>
      <c r="VMU161" s="111"/>
      <c r="VMV161" s="111"/>
      <c r="VMW161" s="111"/>
      <c r="VMX161" s="111"/>
      <c r="VMY161" s="111"/>
      <c r="VMZ161" s="111"/>
      <c r="VNA161" s="111"/>
      <c r="VNB161" s="111"/>
      <c r="VNC161" s="111"/>
      <c r="VND161" s="111"/>
      <c r="VNE161" s="111"/>
      <c r="VNF161" s="111"/>
      <c r="VNG161" s="111"/>
      <c r="VNH161" s="111"/>
      <c r="VNI161" s="111"/>
      <c r="VNJ161" s="111"/>
      <c r="VNK161" s="111"/>
      <c r="VNL161" s="111"/>
      <c r="VNM161" s="111"/>
      <c r="VNN161" s="111"/>
      <c r="VNO161" s="111"/>
      <c r="VNP161" s="111"/>
      <c r="VNQ161" s="111"/>
      <c r="VNR161" s="111"/>
      <c r="VNS161" s="111"/>
      <c r="VNT161" s="111"/>
      <c r="VNU161" s="111"/>
      <c r="VNV161" s="111"/>
      <c r="VNW161" s="111"/>
      <c r="VNX161" s="111"/>
      <c r="VNY161" s="111"/>
      <c r="VNZ161" s="111"/>
      <c r="VOA161" s="111"/>
      <c r="VOB161" s="111"/>
      <c r="VOC161" s="111"/>
      <c r="VOD161" s="111"/>
      <c r="VOE161" s="111"/>
      <c r="VOF161" s="111"/>
      <c r="VOG161" s="111"/>
      <c r="VOH161" s="111"/>
      <c r="VOI161" s="111"/>
      <c r="VOJ161" s="111"/>
      <c r="VOK161" s="111"/>
      <c r="VOL161" s="111"/>
      <c r="VOM161" s="111"/>
      <c r="VON161" s="111"/>
      <c r="VOO161" s="111"/>
      <c r="VOP161" s="111"/>
      <c r="VOQ161" s="111"/>
      <c r="VOR161" s="111"/>
      <c r="VOS161" s="111"/>
      <c r="VOT161" s="111"/>
      <c r="VOU161" s="111"/>
      <c r="VOV161" s="111"/>
      <c r="VOW161" s="111"/>
      <c r="VOX161" s="111"/>
      <c r="VOY161" s="111"/>
      <c r="VOZ161" s="111"/>
      <c r="VPA161" s="111"/>
      <c r="VPB161" s="111"/>
      <c r="VPC161" s="111"/>
      <c r="VPD161" s="111"/>
      <c r="VPE161" s="111"/>
      <c r="VPF161" s="111"/>
      <c r="VPG161" s="111"/>
      <c r="VPH161" s="111"/>
      <c r="VPI161" s="111"/>
      <c r="VPJ161" s="111"/>
      <c r="VPK161" s="111"/>
      <c r="VPL161" s="111"/>
      <c r="VPM161" s="111"/>
      <c r="VPN161" s="111"/>
      <c r="VPO161" s="111"/>
      <c r="VPP161" s="111"/>
      <c r="VPQ161" s="111"/>
      <c r="VPR161" s="111"/>
      <c r="VPS161" s="111"/>
      <c r="VPT161" s="111"/>
      <c r="VPU161" s="111"/>
      <c r="VPV161" s="111"/>
      <c r="VPW161" s="111"/>
      <c r="VPX161" s="111"/>
      <c r="VPY161" s="111"/>
      <c r="VPZ161" s="111"/>
      <c r="VQA161" s="111"/>
      <c r="VQB161" s="111"/>
      <c r="VQC161" s="111"/>
      <c r="VQD161" s="111"/>
      <c r="VQE161" s="111"/>
      <c r="VQF161" s="111"/>
      <c r="VQG161" s="111"/>
      <c r="VQH161" s="111"/>
      <c r="VQI161" s="111"/>
      <c r="VQJ161" s="111"/>
      <c r="VQK161" s="111"/>
      <c r="VQL161" s="111"/>
      <c r="VQM161" s="111"/>
      <c r="VQN161" s="111"/>
      <c r="VQO161" s="111"/>
      <c r="VQP161" s="111"/>
      <c r="VQQ161" s="111"/>
      <c r="VQR161" s="111"/>
      <c r="VQS161" s="111"/>
      <c r="VQT161" s="111"/>
      <c r="VQU161" s="111"/>
      <c r="VQV161" s="111"/>
      <c r="VQW161" s="111"/>
      <c r="VQX161" s="111"/>
      <c r="VQY161" s="111"/>
      <c r="VQZ161" s="111"/>
      <c r="VRA161" s="111"/>
      <c r="VRB161" s="111"/>
      <c r="VRC161" s="111"/>
      <c r="VRD161" s="111"/>
      <c r="VRE161" s="111"/>
      <c r="VRF161" s="111"/>
      <c r="VRG161" s="111"/>
      <c r="VRH161" s="111"/>
      <c r="VRI161" s="111"/>
      <c r="VRJ161" s="111"/>
      <c r="VRK161" s="111"/>
      <c r="VRL161" s="111"/>
      <c r="VRM161" s="111"/>
      <c r="VRN161" s="111"/>
      <c r="VRO161" s="111"/>
      <c r="VRP161" s="111"/>
      <c r="VRQ161" s="111"/>
      <c r="VRR161" s="111"/>
      <c r="VRS161" s="111"/>
      <c r="VRT161" s="111"/>
      <c r="VRU161" s="111"/>
      <c r="VRV161" s="111"/>
      <c r="VRW161" s="111"/>
      <c r="VRX161" s="111"/>
      <c r="VRY161" s="111"/>
      <c r="VRZ161" s="111"/>
      <c r="VSA161" s="111"/>
      <c r="VSB161" s="111"/>
      <c r="VSC161" s="111"/>
      <c r="VSD161" s="111"/>
      <c r="VSE161" s="111"/>
      <c r="VSF161" s="111"/>
      <c r="VSG161" s="111"/>
      <c r="VSH161" s="111"/>
      <c r="VSI161" s="111"/>
      <c r="VSJ161" s="111"/>
      <c r="VSK161" s="111"/>
      <c r="VSL161" s="111"/>
      <c r="VSM161" s="111"/>
      <c r="VSN161" s="111"/>
      <c r="VSO161" s="111"/>
      <c r="VSP161" s="111"/>
      <c r="VSQ161" s="111"/>
      <c r="VSR161" s="111"/>
      <c r="VSS161" s="111"/>
      <c r="VST161" s="111"/>
      <c r="VSU161" s="111"/>
      <c r="VSV161" s="111"/>
      <c r="VSW161" s="111"/>
      <c r="VSX161" s="111"/>
      <c r="VSY161" s="111"/>
      <c r="VSZ161" s="111"/>
      <c r="VTA161" s="111"/>
      <c r="VTB161" s="111"/>
      <c r="VTC161" s="111"/>
      <c r="VTD161" s="111"/>
      <c r="VTE161" s="111"/>
      <c r="VTF161" s="111"/>
      <c r="VTG161" s="111"/>
      <c r="VTH161" s="111"/>
      <c r="VTI161" s="111"/>
      <c r="VTJ161" s="111"/>
      <c r="VTK161" s="111"/>
      <c r="VTL161" s="111"/>
      <c r="VTM161" s="111"/>
      <c r="VTN161" s="111"/>
      <c r="VTO161" s="111"/>
      <c r="VTP161" s="111"/>
      <c r="VTQ161" s="111"/>
      <c r="VTR161" s="111"/>
      <c r="VTS161" s="111"/>
      <c r="VTT161" s="111"/>
      <c r="VTU161" s="111"/>
      <c r="VTV161" s="111"/>
      <c r="VTW161" s="111"/>
      <c r="VTX161" s="111"/>
      <c r="VTY161" s="111"/>
      <c r="VTZ161" s="111"/>
      <c r="VUA161" s="111"/>
      <c r="VUB161" s="111"/>
      <c r="VUC161" s="111"/>
      <c r="VUD161" s="111"/>
      <c r="VUE161" s="111"/>
      <c r="VUF161" s="111"/>
      <c r="VUG161" s="111"/>
      <c r="VUH161" s="111"/>
      <c r="VUI161" s="111"/>
      <c r="VUJ161" s="111"/>
      <c r="VUK161" s="111"/>
      <c r="VUL161" s="111"/>
      <c r="VUM161" s="111"/>
      <c r="VUN161" s="111"/>
      <c r="VUO161" s="111"/>
      <c r="VUP161" s="111"/>
      <c r="VUQ161" s="111"/>
      <c r="VUR161" s="111"/>
      <c r="VUS161" s="111"/>
      <c r="VUT161" s="111"/>
      <c r="VUU161" s="111"/>
      <c r="VUV161" s="111"/>
      <c r="VUW161" s="111"/>
      <c r="VUX161" s="111"/>
      <c r="VUY161" s="111"/>
      <c r="VUZ161" s="111"/>
      <c r="VVA161" s="111"/>
      <c r="VVB161" s="111"/>
      <c r="VVC161" s="111"/>
      <c r="VVD161" s="111"/>
      <c r="VVE161" s="111"/>
      <c r="VVF161" s="111"/>
      <c r="VVG161" s="111"/>
      <c r="VVH161" s="111"/>
      <c r="VVI161" s="111"/>
      <c r="VVJ161" s="111"/>
      <c r="VVK161" s="111"/>
      <c r="VVL161" s="111"/>
      <c r="VVM161" s="111"/>
      <c r="VVN161" s="111"/>
      <c r="VVO161" s="111"/>
      <c r="VVP161" s="111"/>
      <c r="VVQ161" s="111"/>
      <c r="VVR161" s="111"/>
      <c r="VVS161" s="111"/>
      <c r="VVT161" s="111"/>
      <c r="VVU161" s="111"/>
      <c r="VVV161" s="111"/>
      <c r="VVW161" s="111"/>
      <c r="VVX161" s="111"/>
      <c r="VVY161" s="111"/>
      <c r="VVZ161" s="111"/>
      <c r="VWA161" s="111"/>
      <c r="VWB161" s="111"/>
      <c r="VWC161" s="111"/>
      <c r="VWD161" s="111"/>
      <c r="VWE161" s="111"/>
      <c r="VWF161" s="111"/>
      <c r="VWG161" s="111"/>
      <c r="VWH161" s="111"/>
      <c r="VWI161" s="111"/>
      <c r="VWJ161" s="111"/>
      <c r="VWK161" s="111"/>
      <c r="VWL161" s="111"/>
      <c r="VWM161" s="111"/>
      <c r="VWN161" s="111"/>
      <c r="VWO161" s="111"/>
      <c r="VWP161" s="111"/>
      <c r="VWQ161" s="111"/>
      <c r="VWR161" s="111"/>
      <c r="VWS161" s="111"/>
      <c r="VWT161" s="111"/>
      <c r="VWU161" s="111"/>
      <c r="VWV161" s="111"/>
      <c r="VWW161" s="111"/>
      <c r="VWX161" s="111"/>
      <c r="VWY161" s="111"/>
      <c r="VWZ161" s="111"/>
      <c r="VXA161" s="111"/>
      <c r="VXB161" s="111"/>
      <c r="VXC161" s="111"/>
      <c r="VXD161" s="111"/>
      <c r="VXE161" s="111"/>
      <c r="VXF161" s="111"/>
      <c r="VXG161" s="111"/>
      <c r="VXH161" s="111"/>
      <c r="VXI161" s="111"/>
      <c r="VXJ161" s="111"/>
      <c r="VXK161" s="111"/>
      <c r="VXL161" s="111"/>
      <c r="VXM161" s="111"/>
      <c r="VXN161" s="111"/>
      <c r="VXO161" s="111"/>
      <c r="VXP161" s="111"/>
      <c r="VXQ161" s="111"/>
      <c r="VXR161" s="111"/>
      <c r="VXS161" s="111"/>
      <c r="VXT161" s="111"/>
      <c r="VXU161" s="111"/>
      <c r="VXV161" s="111"/>
      <c r="VXW161" s="111"/>
      <c r="VXX161" s="111"/>
      <c r="VXY161" s="111"/>
      <c r="VXZ161" s="111"/>
      <c r="VYA161" s="111"/>
      <c r="VYB161" s="111"/>
      <c r="VYC161" s="111"/>
      <c r="VYD161" s="111"/>
      <c r="VYE161" s="111"/>
      <c r="VYF161" s="111"/>
      <c r="VYG161" s="111"/>
      <c r="VYH161" s="111"/>
      <c r="VYI161" s="111"/>
      <c r="VYJ161" s="111"/>
      <c r="VYK161" s="111"/>
      <c r="VYL161" s="111"/>
      <c r="VYM161" s="111"/>
      <c r="VYN161" s="111"/>
      <c r="VYO161" s="111"/>
      <c r="VYP161" s="111"/>
      <c r="VYQ161" s="111"/>
      <c r="VYR161" s="111"/>
      <c r="VYS161" s="111"/>
      <c r="VYT161" s="111"/>
      <c r="VYU161" s="111"/>
      <c r="VYV161" s="111"/>
      <c r="VYW161" s="111"/>
      <c r="VYX161" s="111"/>
      <c r="VYY161" s="111"/>
      <c r="VYZ161" s="111"/>
      <c r="VZA161" s="111"/>
      <c r="VZB161" s="111"/>
      <c r="VZC161" s="111"/>
      <c r="VZD161" s="111"/>
      <c r="VZE161" s="111"/>
      <c r="VZF161" s="111"/>
      <c r="VZG161" s="111"/>
      <c r="VZH161" s="111"/>
      <c r="VZI161" s="111"/>
      <c r="VZJ161" s="111"/>
      <c r="VZK161" s="111"/>
      <c r="VZL161" s="111"/>
      <c r="VZM161" s="111"/>
      <c r="VZN161" s="111"/>
      <c r="VZO161" s="111"/>
      <c r="VZP161" s="111"/>
      <c r="VZQ161" s="111"/>
      <c r="VZR161" s="111"/>
      <c r="VZS161" s="111"/>
      <c r="VZT161" s="111"/>
      <c r="VZU161" s="111"/>
      <c r="VZV161" s="111"/>
      <c r="VZW161" s="111"/>
      <c r="VZX161" s="111"/>
      <c r="VZY161" s="111"/>
      <c r="VZZ161" s="111"/>
      <c r="WAA161" s="111"/>
      <c r="WAB161" s="111"/>
      <c r="WAC161" s="111"/>
      <c r="WAD161" s="111"/>
      <c r="WAE161" s="111"/>
      <c r="WAF161" s="111"/>
      <c r="WAG161" s="111"/>
      <c r="WAH161" s="111"/>
      <c r="WAI161" s="111"/>
      <c r="WAJ161" s="111"/>
      <c r="WAK161" s="111"/>
      <c r="WAL161" s="111"/>
      <c r="WAM161" s="111"/>
      <c r="WAN161" s="111"/>
      <c r="WAO161" s="111"/>
      <c r="WAP161" s="111"/>
      <c r="WAQ161" s="111"/>
      <c r="WAR161" s="111"/>
      <c r="WAS161" s="111"/>
      <c r="WAT161" s="111"/>
      <c r="WAU161" s="111"/>
      <c r="WAV161" s="111"/>
      <c r="WAW161" s="111"/>
      <c r="WAX161" s="111"/>
      <c r="WAY161" s="111"/>
      <c r="WAZ161" s="111"/>
      <c r="WBA161" s="111"/>
      <c r="WBB161" s="111"/>
      <c r="WBC161" s="111"/>
      <c r="WBD161" s="111"/>
      <c r="WBE161" s="111"/>
      <c r="WBF161" s="111"/>
      <c r="WBG161" s="111"/>
      <c r="WBH161" s="111"/>
      <c r="WBI161" s="111"/>
      <c r="WBJ161" s="111"/>
      <c r="WBK161" s="111"/>
      <c r="WBL161" s="111"/>
      <c r="WBM161" s="111"/>
      <c r="WBN161" s="111"/>
      <c r="WBO161" s="111"/>
      <c r="WBP161" s="111"/>
      <c r="WBQ161" s="111"/>
      <c r="WBR161" s="111"/>
      <c r="WBS161" s="111"/>
      <c r="WBT161" s="111"/>
      <c r="WBU161" s="111"/>
      <c r="WBV161" s="111"/>
      <c r="WBW161" s="111"/>
      <c r="WBX161" s="111"/>
      <c r="WBY161" s="111"/>
      <c r="WBZ161" s="111"/>
      <c r="WCA161" s="111"/>
      <c r="WCB161" s="111"/>
      <c r="WCC161" s="111"/>
      <c r="WCD161" s="111"/>
      <c r="WCE161" s="111"/>
      <c r="WCF161" s="111"/>
      <c r="WCG161" s="111"/>
      <c r="WCH161" s="111"/>
      <c r="WCI161" s="111"/>
      <c r="WCJ161" s="111"/>
      <c r="WCK161" s="111"/>
      <c r="WCL161" s="111"/>
      <c r="WCM161" s="111"/>
      <c r="WCN161" s="111"/>
      <c r="WCO161" s="111"/>
      <c r="WCP161" s="111"/>
      <c r="WCQ161" s="111"/>
      <c r="WCR161" s="111"/>
      <c r="WCS161" s="111"/>
      <c r="WCT161" s="111"/>
      <c r="WCU161" s="111"/>
      <c r="WCV161" s="111"/>
      <c r="WCW161" s="111"/>
      <c r="WCX161" s="111"/>
      <c r="WCY161" s="111"/>
      <c r="WCZ161" s="111"/>
      <c r="WDA161" s="111"/>
      <c r="WDB161" s="111"/>
      <c r="WDC161" s="111"/>
      <c r="WDD161" s="111"/>
      <c r="WDE161" s="111"/>
      <c r="WDF161" s="111"/>
      <c r="WDG161" s="111"/>
      <c r="WDH161" s="111"/>
      <c r="WDI161" s="111"/>
      <c r="WDJ161" s="111"/>
      <c r="WDK161" s="111"/>
      <c r="WDL161" s="111"/>
      <c r="WDM161" s="111"/>
      <c r="WDN161" s="111"/>
      <c r="WDO161" s="111"/>
      <c r="WDP161" s="111"/>
      <c r="WDQ161" s="111"/>
      <c r="WDR161" s="111"/>
      <c r="WDS161" s="111"/>
      <c r="WDT161" s="111"/>
      <c r="WDU161" s="111"/>
      <c r="WDV161" s="111"/>
      <c r="WDW161" s="111"/>
      <c r="WDX161" s="111"/>
      <c r="WDY161" s="111"/>
      <c r="WDZ161" s="111"/>
      <c r="WEA161" s="111"/>
      <c r="WEB161" s="111"/>
      <c r="WEC161" s="111"/>
      <c r="WED161" s="111"/>
      <c r="WEE161" s="111"/>
      <c r="WEF161" s="111"/>
      <c r="WEG161" s="111"/>
      <c r="WEH161" s="111"/>
      <c r="WEI161" s="111"/>
      <c r="WEJ161" s="111"/>
      <c r="WEK161" s="111"/>
      <c r="WEL161" s="111"/>
      <c r="WEM161" s="111"/>
      <c r="WEN161" s="111"/>
      <c r="WEO161" s="111"/>
      <c r="WEP161" s="111"/>
      <c r="WEQ161" s="111"/>
      <c r="WER161" s="111"/>
      <c r="WES161" s="111"/>
      <c r="WET161" s="111"/>
      <c r="WEU161" s="111"/>
      <c r="WEV161" s="111"/>
      <c r="WEW161" s="111"/>
      <c r="WEX161" s="111"/>
      <c r="WEY161" s="111"/>
      <c r="WEZ161" s="111"/>
      <c r="WFA161" s="111"/>
      <c r="WFB161" s="111"/>
      <c r="WFC161" s="111"/>
      <c r="WFD161" s="111"/>
      <c r="WFE161" s="111"/>
      <c r="WFF161" s="111"/>
      <c r="WFG161" s="111"/>
      <c r="WFH161" s="111"/>
      <c r="WFI161" s="111"/>
      <c r="WFJ161" s="111"/>
      <c r="WFK161" s="111"/>
      <c r="WFL161" s="111"/>
      <c r="WFM161" s="111"/>
      <c r="WFN161" s="111"/>
      <c r="WFO161" s="111"/>
      <c r="WFP161" s="111"/>
      <c r="WFQ161" s="111"/>
      <c r="WFR161" s="111"/>
      <c r="WFS161" s="111"/>
      <c r="WFT161" s="111"/>
      <c r="WFU161" s="111"/>
      <c r="WFV161" s="111"/>
      <c r="WFW161" s="111"/>
      <c r="WFX161" s="111"/>
      <c r="WFY161" s="111"/>
      <c r="WFZ161" s="111"/>
      <c r="WGA161" s="111"/>
      <c r="WGB161" s="111"/>
      <c r="WGC161" s="111"/>
      <c r="WGD161" s="111"/>
      <c r="WGE161" s="111"/>
      <c r="WGF161" s="111"/>
      <c r="WGG161" s="111"/>
      <c r="WGH161" s="111"/>
      <c r="WGI161" s="111"/>
      <c r="WGJ161" s="111"/>
      <c r="WGK161" s="111"/>
      <c r="WGL161" s="111"/>
      <c r="WGM161" s="111"/>
      <c r="WGN161" s="111"/>
      <c r="WGO161" s="111"/>
      <c r="WGP161" s="111"/>
      <c r="WGQ161" s="111"/>
      <c r="WGR161" s="111"/>
      <c r="WGS161" s="111"/>
      <c r="WGT161" s="111"/>
      <c r="WGU161" s="111"/>
      <c r="WGV161" s="111"/>
      <c r="WGW161" s="111"/>
      <c r="WGX161" s="111"/>
      <c r="WGY161" s="111"/>
      <c r="WGZ161" s="111"/>
      <c r="WHA161" s="111"/>
      <c r="WHB161" s="111"/>
      <c r="WHC161" s="111"/>
      <c r="WHD161" s="111"/>
      <c r="WHE161" s="111"/>
      <c r="WHF161" s="111"/>
      <c r="WHG161" s="111"/>
      <c r="WHH161" s="111"/>
      <c r="WHI161" s="111"/>
      <c r="WHJ161" s="111"/>
      <c r="WHK161" s="111"/>
      <c r="WHL161" s="111"/>
      <c r="WHM161" s="111"/>
      <c r="WHN161" s="111"/>
      <c r="WHO161" s="111"/>
      <c r="WHP161" s="111"/>
      <c r="WHQ161" s="111"/>
      <c r="WHR161" s="111"/>
      <c r="WHS161" s="111"/>
      <c r="WHT161" s="111"/>
      <c r="WHU161" s="111"/>
      <c r="WHV161" s="111"/>
      <c r="WHW161" s="111"/>
      <c r="WHX161" s="111"/>
      <c r="WHY161" s="111"/>
      <c r="WHZ161" s="111"/>
      <c r="WIA161" s="111"/>
      <c r="WIB161" s="111"/>
      <c r="WIC161" s="111"/>
      <c r="WID161" s="111"/>
      <c r="WIE161" s="111"/>
      <c r="WIF161" s="111"/>
      <c r="WIG161" s="111"/>
      <c r="WIH161" s="111"/>
      <c r="WII161" s="111"/>
      <c r="WIJ161" s="111"/>
      <c r="WIK161" s="111"/>
      <c r="WIL161" s="111"/>
      <c r="WIM161" s="111"/>
      <c r="WIN161" s="111"/>
      <c r="WIO161" s="111"/>
      <c r="WIP161" s="111"/>
      <c r="WIQ161" s="111"/>
      <c r="WIR161" s="111"/>
      <c r="WIS161" s="111"/>
      <c r="WIT161" s="111"/>
      <c r="WIU161" s="111"/>
      <c r="WIV161" s="111"/>
      <c r="WIW161" s="111"/>
      <c r="WIX161" s="111"/>
      <c r="WIY161" s="111"/>
      <c r="WIZ161" s="111"/>
      <c r="WJA161" s="111"/>
      <c r="WJB161" s="111"/>
      <c r="WJC161" s="111"/>
      <c r="WJD161" s="111"/>
      <c r="WJE161" s="111"/>
      <c r="WJF161" s="111"/>
      <c r="WJG161" s="111"/>
      <c r="WJH161" s="111"/>
      <c r="WJI161" s="111"/>
      <c r="WJJ161" s="111"/>
      <c r="WJK161" s="111"/>
      <c r="WJL161" s="111"/>
      <c r="WJM161" s="111"/>
      <c r="WJN161" s="111"/>
      <c r="WJO161" s="111"/>
      <c r="WJP161" s="111"/>
      <c r="WJQ161" s="111"/>
      <c r="WJR161" s="111"/>
      <c r="WJS161" s="111"/>
      <c r="WJT161" s="111"/>
      <c r="WJU161" s="111"/>
      <c r="WJV161" s="111"/>
      <c r="WJW161" s="111"/>
      <c r="WJX161" s="111"/>
      <c r="WJY161" s="111"/>
      <c r="WJZ161" s="111"/>
      <c r="WKA161" s="111"/>
      <c r="WKB161" s="111"/>
      <c r="WKC161" s="111"/>
      <c r="WKD161" s="111"/>
      <c r="WKE161" s="111"/>
      <c r="WKF161" s="111"/>
      <c r="WKG161" s="111"/>
      <c r="WKH161" s="111"/>
      <c r="WKI161" s="111"/>
      <c r="WKJ161" s="111"/>
      <c r="WKK161" s="111"/>
      <c r="WKL161" s="111"/>
      <c r="WKM161" s="111"/>
      <c r="WKN161" s="111"/>
      <c r="WKO161" s="111"/>
      <c r="WKP161" s="111"/>
      <c r="WKQ161" s="111"/>
      <c r="WKR161" s="111"/>
      <c r="WKS161" s="111"/>
      <c r="WKT161" s="111"/>
      <c r="WKU161" s="111"/>
      <c r="WKV161" s="111"/>
      <c r="WKW161" s="111"/>
      <c r="WKX161" s="111"/>
      <c r="WKY161" s="111"/>
      <c r="WKZ161" s="111"/>
      <c r="WLA161" s="111"/>
      <c r="WLB161" s="111"/>
      <c r="WLC161" s="111"/>
      <c r="WLD161" s="111"/>
      <c r="WLE161" s="111"/>
      <c r="WLF161" s="111"/>
      <c r="WLG161" s="111"/>
      <c r="WLH161" s="111"/>
      <c r="WLI161" s="111"/>
      <c r="WLJ161" s="111"/>
      <c r="WLK161" s="111"/>
      <c r="WLL161" s="111"/>
      <c r="WLM161" s="111"/>
      <c r="WLN161" s="111"/>
      <c r="WLO161" s="111"/>
      <c r="WLP161" s="111"/>
      <c r="WLQ161" s="111"/>
      <c r="WLR161" s="111"/>
      <c r="WLS161" s="111"/>
      <c r="WLT161" s="111"/>
      <c r="WLU161" s="111"/>
      <c r="WLV161" s="111"/>
      <c r="WLW161" s="111"/>
      <c r="WLX161" s="111"/>
      <c r="WLY161" s="111"/>
      <c r="WLZ161" s="111"/>
      <c r="WMA161" s="111"/>
      <c r="WMB161" s="111"/>
      <c r="WMC161" s="111"/>
      <c r="WMD161" s="111"/>
      <c r="WME161" s="111"/>
      <c r="WMF161" s="111"/>
      <c r="WMG161" s="111"/>
      <c r="WMH161" s="111"/>
      <c r="WMI161" s="111"/>
      <c r="WMJ161" s="111"/>
      <c r="WMK161" s="111"/>
      <c r="WML161" s="111"/>
      <c r="WMM161" s="111"/>
      <c r="WMN161" s="111"/>
      <c r="WMO161" s="111"/>
      <c r="WMP161" s="111"/>
      <c r="WMQ161" s="111"/>
      <c r="WMR161" s="111"/>
      <c r="WMS161" s="111"/>
      <c r="WMT161" s="111"/>
      <c r="WMU161" s="111"/>
      <c r="WMV161" s="111"/>
      <c r="WMW161" s="111"/>
      <c r="WMX161" s="111"/>
      <c r="WMY161" s="111"/>
      <c r="WMZ161" s="111"/>
      <c r="WNA161" s="111"/>
      <c r="WNB161" s="111"/>
      <c r="WNC161" s="111"/>
      <c r="WND161" s="111"/>
      <c r="WNE161" s="111"/>
      <c r="WNF161" s="111"/>
      <c r="WNG161" s="111"/>
      <c r="WNH161" s="111"/>
      <c r="WNI161" s="111"/>
      <c r="WNJ161" s="111"/>
      <c r="WNK161" s="111"/>
      <c r="WNL161" s="111"/>
      <c r="WNM161" s="111"/>
      <c r="WNN161" s="111"/>
      <c r="WNO161" s="111"/>
      <c r="WNP161" s="111"/>
      <c r="WNQ161" s="111"/>
      <c r="WNR161" s="111"/>
      <c r="WNS161" s="111"/>
      <c r="WNT161" s="111"/>
      <c r="WNU161" s="111"/>
      <c r="WNV161" s="111"/>
      <c r="WNW161" s="111"/>
      <c r="WNX161" s="111"/>
      <c r="WNY161" s="111"/>
      <c r="WNZ161" s="111"/>
      <c r="WOA161" s="111"/>
      <c r="WOB161" s="111"/>
      <c r="WOC161" s="111"/>
      <c r="WOD161" s="111"/>
      <c r="WOE161" s="111"/>
      <c r="WOF161" s="111"/>
      <c r="WOG161" s="111"/>
      <c r="WOH161" s="111"/>
      <c r="WOI161" s="111"/>
      <c r="WOJ161" s="111"/>
      <c r="WOK161" s="111"/>
      <c r="WOL161" s="111"/>
      <c r="WOM161" s="111"/>
      <c r="WON161" s="111"/>
      <c r="WOO161" s="111"/>
      <c r="WOP161" s="111"/>
      <c r="WOQ161" s="111"/>
      <c r="WOR161" s="111"/>
      <c r="WOS161" s="111"/>
      <c r="WOT161" s="111"/>
      <c r="WOU161" s="111"/>
      <c r="WOV161" s="111"/>
      <c r="WOW161" s="111"/>
      <c r="WOX161" s="111"/>
      <c r="WOY161" s="111"/>
      <c r="WOZ161" s="111"/>
      <c r="WPA161" s="111"/>
      <c r="WPB161" s="111"/>
      <c r="WPC161" s="111"/>
      <c r="WPD161" s="111"/>
      <c r="WPE161" s="111"/>
      <c r="WPF161" s="111"/>
      <c r="WPG161" s="111"/>
      <c r="WPH161" s="111"/>
      <c r="WPI161" s="111"/>
      <c r="WPJ161" s="111"/>
      <c r="WPK161" s="111"/>
      <c r="WPL161" s="111"/>
      <c r="WPM161" s="111"/>
      <c r="WPN161" s="111"/>
      <c r="WPO161" s="111"/>
      <c r="WPP161" s="111"/>
      <c r="WPQ161" s="111"/>
      <c r="WPR161" s="111"/>
      <c r="WPS161" s="111"/>
      <c r="WPT161" s="111"/>
      <c r="WPU161" s="111"/>
      <c r="WPV161" s="111"/>
      <c r="WPW161" s="111"/>
      <c r="WPX161" s="111"/>
      <c r="WPY161" s="111"/>
      <c r="WPZ161" s="111"/>
      <c r="WQA161" s="111"/>
      <c r="WQB161" s="111"/>
      <c r="WQC161" s="111"/>
      <c r="WQD161" s="111"/>
      <c r="WQE161" s="111"/>
      <c r="WQF161" s="111"/>
      <c r="WQG161" s="111"/>
      <c r="WQH161" s="111"/>
      <c r="WQI161" s="111"/>
      <c r="WQJ161" s="111"/>
      <c r="WQK161" s="111"/>
      <c r="WQL161" s="111"/>
      <c r="WQM161" s="111"/>
      <c r="WQN161" s="111"/>
      <c r="WQO161" s="111"/>
      <c r="WQP161" s="111"/>
      <c r="WQQ161" s="111"/>
      <c r="WQR161" s="111"/>
      <c r="WQS161" s="111"/>
      <c r="WQT161" s="111"/>
      <c r="WQU161" s="111"/>
      <c r="WQV161" s="111"/>
      <c r="WQW161" s="111"/>
      <c r="WQX161" s="111"/>
      <c r="WQY161" s="111"/>
      <c r="WQZ161" s="111"/>
      <c r="WRA161" s="111"/>
      <c r="WRB161" s="111"/>
      <c r="WRC161" s="111"/>
      <c r="WRD161" s="111"/>
      <c r="WRE161" s="111"/>
      <c r="WRF161" s="111"/>
      <c r="WRG161" s="111"/>
      <c r="WRH161" s="111"/>
      <c r="WRI161" s="111"/>
      <c r="WRJ161" s="111"/>
      <c r="WRK161" s="111"/>
      <c r="WRL161" s="111"/>
      <c r="WRM161" s="111"/>
      <c r="WRN161" s="111"/>
      <c r="WRO161" s="111"/>
      <c r="WRP161" s="111"/>
      <c r="WRQ161" s="111"/>
      <c r="WRR161" s="111"/>
      <c r="WRS161" s="111"/>
      <c r="WRT161" s="111"/>
      <c r="WRU161" s="111"/>
      <c r="WRV161" s="111"/>
      <c r="WRW161" s="111"/>
      <c r="WRX161" s="111"/>
      <c r="WRY161" s="111"/>
      <c r="WRZ161" s="111"/>
      <c r="WSA161" s="111"/>
      <c r="WSB161" s="111"/>
      <c r="WSC161" s="111"/>
      <c r="WSD161" s="111"/>
      <c r="WSE161" s="111"/>
      <c r="WSF161" s="111"/>
      <c r="WSG161" s="111"/>
      <c r="WSH161" s="111"/>
      <c r="WSI161" s="111"/>
      <c r="WSJ161" s="111"/>
      <c r="WSK161" s="111"/>
      <c r="WSL161" s="111"/>
      <c r="WSM161" s="111"/>
      <c r="WSN161" s="111"/>
      <c r="WSO161" s="111"/>
      <c r="WSP161" s="111"/>
      <c r="WSQ161" s="111"/>
      <c r="WSR161" s="111"/>
      <c r="WSS161" s="111"/>
      <c r="WST161" s="111"/>
      <c r="WSU161" s="111"/>
      <c r="WSV161" s="111"/>
      <c r="WSW161" s="111"/>
      <c r="WSX161" s="111"/>
      <c r="WSY161" s="111"/>
      <c r="WSZ161" s="111"/>
      <c r="WTA161" s="111"/>
      <c r="WTB161" s="111"/>
      <c r="WTC161" s="111"/>
      <c r="WTD161" s="111"/>
      <c r="WTE161" s="111"/>
      <c r="WTF161" s="111"/>
      <c r="WTG161" s="111"/>
      <c r="WTH161" s="111"/>
      <c r="WTI161" s="111"/>
      <c r="WTJ161" s="111"/>
      <c r="WTK161" s="111"/>
      <c r="WTL161" s="111"/>
      <c r="WTM161" s="111"/>
      <c r="WTN161" s="111"/>
      <c r="WTO161" s="111"/>
      <c r="WTP161" s="111"/>
      <c r="WTQ161" s="111"/>
      <c r="WTR161" s="111"/>
      <c r="WTS161" s="111"/>
      <c r="WTT161" s="111"/>
      <c r="WTU161" s="111"/>
      <c r="WTV161" s="111"/>
      <c r="WTW161" s="111"/>
      <c r="WTX161" s="111"/>
      <c r="WTY161" s="111"/>
      <c r="WTZ161" s="111"/>
      <c r="WUA161" s="111"/>
      <c r="WUB161" s="111"/>
      <c r="WUC161" s="111"/>
      <c r="WUD161" s="111"/>
      <c r="WUE161" s="111"/>
      <c r="WUF161" s="111"/>
      <c r="WUG161" s="111"/>
      <c r="WUH161" s="111"/>
      <c r="WUI161" s="111"/>
      <c r="WUJ161" s="111"/>
      <c r="WUK161" s="111"/>
      <c r="WUL161" s="111"/>
      <c r="WUM161" s="111"/>
      <c r="WUN161" s="111"/>
      <c r="WUO161" s="111"/>
      <c r="WUP161" s="111"/>
      <c r="WUQ161" s="111"/>
      <c r="WUR161" s="111"/>
      <c r="WUS161" s="111"/>
      <c r="WUT161" s="111"/>
      <c r="WUU161" s="111"/>
      <c r="WUV161" s="111"/>
      <c r="WUW161" s="111"/>
      <c r="WUX161" s="111"/>
      <c r="WUY161" s="111"/>
      <c r="WUZ161" s="111"/>
      <c r="WVA161" s="111"/>
      <c r="WVB161" s="111"/>
      <c r="WVC161" s="111"/>
      <c r="WVD161" s="111"/>
    </row>
    <row r="162" spans="1:16124" ht="27.95" hidden="1" customHeight="1">
      <c r="A162" s="244"/>
      <c r="B162" s="244"/>
      <c r="C162" s="244"/>
      <c r="D162" s="260"/>
      <c r="E162" s="260"/>
      <c r="F162" s="260"/>
      <c r="G162" s="260"/>
      <c r="H162" s="268" t="s">
        <v>1106</v>
      </c>
      <c r="I162" s="238"/>
      <c r="J162" s="262">
        <v>1</v>
      </c>
      <c r="K162" s="263" t="s">
        <v>1103</v>
      </c>
      <c r="L162" s="264">
        <v>270000</v>
      </c>
      <c r="M162" s="265">
        <f>+J162*L162</f>
        <v>270000</v>
      </c>
      <c r="N162" s="262">
        <v>1</v>
      </c>
      <c r="O162" s="263" t="s">
        <v>1103</v>
      </c>
      <c r="P162" s="264">
        <v>270000</v>
      </c>
      <c r="Q162" s="266">
        <f t="shared" si="36"/>
        <v>270000</v>
      </c>
      <c r="R162" s="267">
        <f>IF(J162="","",Q162/M162)</f>
        <v>1</v>
      </c>
      <c r="S162" s="266">
        <f t="shared" si="37"/>
        <v>0</v>
      </c>
      <c r="T162" s="266">
        <f t="shared" si="38"/>
        <v>0</v>
      </c>
      <c r="U162" s="266">
        <f t="shared" si="39"/>
        <v>270000</v>
      </c>
      <c r="V162" s="266">
        <v>0</v>
      </c>
    </row>
    <row r="163" spans="1:16124" ht="27.95" hidden="1" customHeight="1">
      <c r="A163" s="260" t="s">
        <v>362</v>
      </c>
      <c r="B163" s="260" t="s">
        <v>960</v>
      </c>
      <c r="C163" s="269" t="s">
        <v>1043</v>
      </c>
      <c r="D163" s="260" t="s">
        <v>363</v>
      </c>
      <c r="E163" s="260" t="s">
        <v>970</v>
      </c>
      <c r="F163" s="260" t="s">
        <v>362</v>
      </c>
      <c r="G163" s="260" t="s">
        <v>1038</v>
      </c>
      <c r="H163" s="261" t="s">
        <v>1090</v>
      </c>
      <c r="I163" s="238"/>
      <c r="J163" s="262"/>
      <c r="K163" s="263"/>
      <c r="L163" s="264"/>
      <c r="M163" s="265"/>
      <c r="N163" s="266">
        <v>0</v>
      </c>
      <c r="O163" s="261"/>
      <c r="P163" s="266">
        <v>0</v>
      </c>
      <c r="Q163" s="266">
        <f t="shared" si="36"/>
        <v>0</v>
      </c>
      <c r="R163" s="267" t="str">
        <f t="shared" si="35"/>
        <v/>
      </c>
      <c r="S163" s="266">
        <f t="shared" si="37"/>
        <v>0</v>
      </c>
      <c r="T163" s="266">
        <f t="shared" si="38"/>
        <v>0</v>
      </c>
      <c r="U163" s="266">
        <f t="shared" si="39"/>
        <v>0</v>
      </c>
      <c r="V163" s="266">
        <v>0</v>
      </c>
    </row>
    <row r="164" spans="1:16124" ht="27.95" hidden="1" customHeight="1">
      <c r="A164" s="260"/>
      <c r="B164" s="260"/>
      <c r="C164" s="269"/>
      <c r="D164" s="260"/>
      <c r="E164" s="260"/>
      <c r="F164" s="260"/>
      <c r="G164" s="260"/>
      <c r="H164" s="268" t="s">
        <v>1107</v>
      </c>
      <c r="I164" s="238"/>
      <c r="J164" s="262">
        <v>1</v>
      </c>
      <c r="K164" s="263" t="s">
        <v>1029</v>
      </c>
      <c r="L164" s="264">
        <v>2400000</v>
      </c>
      <c r="M164" s="265">
        <f>+J164*L164</f>
        <v>2400000</v>
      </c>
      <c r="N164" s="266">
        <v>1</v>
      </c>
      <c r="O164" s="261" t="s">
        <v>1029</v>
      </c>
      <c r="P164" s="266">
        <f>1117750+153500+39500+673000</f>
        <v>1983750</v>
      </c>
      <c r="Q164" s="266">
        <f t="shared" si="36"/>
        <v>1983750</v>
      </c>
      <c r="R164" s="267">
        <f t="shared" si="35"/>
        <v>0.82656249999999998</v>
      </c>
      <c r="S164" s="266">
        <f t="shared" si="37"/>
        <v>0</v>
      </c>
      <c r="T164" s="266">
        <f t="shared" si="38"/>
        <v>0</v>
      </c>
      <c r="U164" s="266">
        <f t="shared" si="39"/>
        <v>1983750</v>
      </c>
      <c r="V164" s="266">
        <v>0</v>
      </c>
    </row>
    <row r="165" spans="1:16124" ht="27.95" hidden="1" customHeight="1">
      <c r="A165" s="229"/>
      <c r="B165" s="229"/>
      <c r="C165" s="229"/>
      <c r="D165" s="260"/>
      <c r="E165" s="260"/>
      <c r="F165" s="260"/>
      <c r="G165" s="260"/>
      <c r="H165" s="268" t="s">
        <v>1108</v>
      </c>
      <c r="I165" s="238"/>
      <c r="J165" s="262">
        <v>1</v>
      </c>
      <c r="K165" s="263" t="s">
        <v>1029</v>
      </c>
      <c r="L165" s="264">
        <v>50000</v>
      </c>
      <c r="M165" s="265">
        <f>+J165*L165</f>
        <v>50000</v>
      </c>
      <c r="N165" s="262">
        <v>1</v>
      </c>
      <c r="O165" s="263" t="s">
        <v>1029</v>
      </c>
      <c r="P165" s="264">
        <v>50000</v>
      </c>
      <c r="Q165" s="266">
        <f t="shared" si="36"/>
        <v>50000</v>
      </c>
      <c r="R165" s="267">
        <f t="shared" si="35"/>
        <v>1</v>
      </c>
      <c r="S165" s="266">
        <f t="shared" si="37"/>
        <v>0</v>
      </c>
      <c r="T165" s="266">
        <f t="shared" si="38"/>
        <v>0</v>
      </c>
      <c r="U165" s="266">
        <f t="shared" si="39"/>
        <v>50000</v>
      </c>
      <c r="V165" s="266">
        <v>0</v>
      </c>
    </row>
    <row r="166" spans="1:16124" ht="27.95" hidden="1" customHeight="1">
      <c r="A166" s="244"/>
      <c r="B166" s="244"/>
      <c r="C166" s="244"/>
      <c r="D166" s="260"/>
      <c r="E166" s="260"/>
      <c r="F166" s="260"/>
      <c r="G166" s="260"/>
      <c r="H166" s="268" t="s">
        <v>1109</v>
      </c>
      <c r="I166" s="238"/>
      <c r="J166" s="262">
        <v>1</v>
      </c>
      <c r="K166" s="263" t="s">
        <v>1029</v>
      </c>
      <c r="L166" s="264">
        <v>50000</v>
      </c>
      <c r="M166" s="265">
        <f>+J166*L166</f>
        <v>50000</v>
      </c>
      <c r="N166" s="262">
        <v>1</v>
      </c>
      <c r="O166" s="263" t="s">
        <v>1029</v>
      </c>
      <c r="P166" s="264">
        <v>50000</v>
      </c>
      <c r="Q166" s="266">
        <f t="shared" si="36"/>
        <v>50000</v>
      </c>
      <c r="R166" s="267">
        <f t="shared" si="35"/>
        <v>1</v>
      </c>
      <c r="S166" s="266">
        <f t="shared" si="37"/>
        <v>0</v>
      </c>
      <c r="T166" s="266">
        <f t="shared" si="38"/>
        <v>0</v>
      </c>
      <c r="U166" s="266">
        <f t="shared" si="39"/>
        <v>50000</v>
      </c>
      <c r="V166" s="266">
        <v>0</v>
      </c>
    </row>
    <row r="167" spans="1:16124" ht="27.95" hidden="1" customHeight="1">
      <c r="A167" s="260" t="s">
        <v>362</v>
      </c>
      <c r="B167" s="260" t="s">
        <v>960</v>
      </c>
      <c r="C167" s="269" t="s">
        <v>1043</v>
      </c>
      <c r="D167" s="260" t="s">
        <v>363</v>
      </c>
      <c r="E167" s="260" t="s">
        <v>970</v>
      </c>
      <c r="F167" s="260" t="s">
        <v>362</v>
      </c>
      <c r="G167" s="260" t="s">
        <v>1040</v>
      </c>
      <c r="H167" s="261" t="s">
        <v>252</v>
      </c>
      <c r="I167" s="238"/>
      <c r="J167" s="262"/>
      <c r="K167" s="263"/>
      <c r="L167" s="264"/>
      <c r="M167" s="265"/>
      <c r="N167" s="266">
        <v>0</v>
      </c>
      <c r="O167" s="261"/>
      <c r="P167" s="266">
        <v>0</v>
      </c>
      <c r="Q167" s="266">
        <f t="shared" si="36"/>
        <v>0</v>
      </c>
      <c r="R167" s="267" t="str">
        <f t="shared" si="35"/>
        <v/>
      </c>
      <c r="S167" s="266">
        <f t="shared" si="37"/>
        <v>0</v>
      </c>
      <c r="T167" s="266">
        <f t="shared" si="38"/>
        <v>0</v>
      </c>
      <c r="U167" s="266">
        <f t="shared" si="39"/>
        <v>0</v>
      </c>
      <c r="V167" s="266">
        <v>0</v>
      </c>
    </row>
    <row r="168" spans="1:16124" ht="27.95" hidden="1" customHeight="1">
      <c r="A168" s="260"/>
      <c r="B168" s="260"/>
      <c r="C168" s="260"/>
      <c r="D168" s="260"/>
      <c r="E168" s="260"/>
      <c r="F168" s="260"/>
      <c r="G168" s="260"/>
      <c r="H168" s="268" t="s">
        <v>1110</v>
      </c>
      <c r="I168" s="238"/>
      <c r="J168" s="262">
        <v>288</v>
      </c>
      <c r="K168" s="263" t="s">
        <v>1042</v>
      </c>
      <c r="L168" s="264">
        <v>35000</v>
      </c>
      <c r="M168" s="265">
        <f>+J168*L168</f>
        <v>10080000</v>
      </c>
      <c r="N168" s="266">
        <f>36+30+30+25+18+22+18+40</f>
        <v>219</v>
      </c>
      <c r="O168" s="261" t="s">
        <v>1042</v>
      </c>
      <c r="P168" s="266">
        <v>35000</v>
      </c>
      <c r="Q168" s="266">
        <f t="shared" si="36"/>
        <v>7665000</v>
      </c>
      <c r="R168" s="267">
        <f t="shared" si="35"/>
        <v>0.76041666666666663</v>
      </c>
      <c r="S168" s="266">
        <f t="shared" si="37"/>
        <v>0</v>
      </c>
      <c r="T168" s="266">
        <f t="shared" si="38"/>
        <v>0</v>
      </c>
      <c r="U168" s="266">
        <f t="shared" si="39"/>
        <v>7665000</v>
      </c>
      <c r="V168" s="266">
        <v>0</v>
      </c>
    </row>
    <row r="169" spans="1:16124" ht="27.95" hidden="1" customHeight="1">
      <c r="A169" s="260"/>
      <c r="B169" s="260"/>
      <c r="C169" s="260"/>
      <c r="D169" s="260"/>
      <c r="E169" s="260"/>
      <c r="F169" s="260"/>
      <c r="G169" s="260"/>
      <c r="H169" s="268" t="s">
        <v>1111</v>
      </c>
      <c r="I169" s="238"/>
      <c r="J169" s="262">
        <v>420</v>
      </c>
      <c r="K169" s="263" t="s">
        <v>1042</v>
      </c>
      <c r="L169" s="264">
        <v>10000</v>
      </c>
      <c r="M169" s="265">
        <f t="shared" ref="M169:M174" si="40">+J169*L169</f>
        <v>4200000</v>
      </c>
      <c r="N169" s="262">
        <v>420</v>
      </c>
      <c r="O169" s="263" t="s">
        <v>1042</v>
      </c>
      <c r="P169" s="264">
        <v>10000</v>
      </c>
      <c r="Q169" s="266">
        <f t="shared" si="36"/>
        <v>4200000</v>
      </c>
      <c r="R169" s="267">
        <f t="shared" si="35"/>
        <v>1</v>
      </c>
      <c r="S169" s="266">
        <f t="shared" si="37"/>
        <v>0</v>
      </c>
      <c r="T169" s="266">
        <f t="shared" si="38"/>
        <v>0</v>
      </c>
      <c r="U169" s="266">
        <f t="shared" si="39"/>
        <v>4200000</v>
      </c>
      <c r="V169" s="266">
        <v>0</v>
      </c>
    </row>
    <row r="170" spans="1:16124" ht="27.95" hidden="1" customHeight="1">
      <c r="A170" s="260"/>
      <c r="B170" s="260"/>
      <c r="C170" s="269"/>
      <c r="D170" s="260"/>
      <c r="E170" s="260"/>
      <c r="F170" s="260"/>
      <c r="G170" s="260"/>
      <c r="H170" s="268" t="s">
        <v>1112</v>
      </c>
      <c r="I170" s="238"/>
      <c r="J170" s="262">
        <v>600</v>
      </c>
      <c r="K170" s="263" t="s">
        <v>1042</v>
      </c>
      <c r="L170" s="264">
        <v>10000</v>
      </c>
      <c r="M170" s="265">
        <f t="shared" si="40"/>
        <v>6000000</v>
      </c>
      <c r="N170" s="262">
        <v>600</v>
      </c>
      <c r="O170" s="263" t="s">
        <v>1042</v>
      </c>
      <c r="P170" s="264">
        <v>10000</v>
      </c>
      <c r="Q170" s="265">
        <f t="shared" si="36"/>
        <v>6000000</v>
      </c>
      <c r="R170" s="267">
        <f t="shared" si="35"/>
        <v>1</v>
      </c>
      <c r="S170" s="266">
        <f t="shared" si="37"/>
        <v>0</v>
      </c>
      <c r="T170" s="266">
        <f t="shared" si="38"/>
        <v>0</v>
      </c>
      <c r="U170" s="266">
        <f t="shared" si="39"/>
        <v>6000000</v>
      </c>
      <c r="V170" s="266">
        <v>0</v>
      </c>
    </row>
    <row r="171" spans="1:16124" ht="27.95" hidden="1" customHeight="1">
      <c r="A171" s="229"/>
      <c r="B171" s="229"/>
      <c r="C171" s="229"/>
      <c r="D171" s="260"/>
      <c r="E171" s="260"/>
      <c r="F171" s="260"/>
      <c r="G171" s="260"/>
      <c r="H171" s="268" t="s">
        <v>1113</v>
      </c>
      <c r="I171" s="238"/>
      <c r="J171" s="262">
        <v>18</v>
      </c>
      <c r="K171" s="263" t="s">
        <v>1042</v>
      </c>
      <c r="L171" s="264">
        <v>10000</v>
      </c>
      <c r="M171" s="265">
        <f t="shared" si="40"/>
        <v>180000</v>
      </c>
      <c r="N171" s="262">
        <v>18</v>
      </c>
      <c r="O171" s="263" t="s">
        <v>1042</v>
      </c>
      <c r="P171" s="264">
        <v>10000</v>
      </c>
      <c r="Q171" s="266">
        <f t="shared" si="36"/>
        <v>180000</v>
      </c>
      <c r="R171" s="267">
        <f t="shared" si="35"/>
        <v>1</v>
      </c>
      <c r="S171" s="266">
        <f t="shared" si="37"/>
        <v>0</v>
      </c>
      <c r="T171" s="266">
        <f t="shared" si="38"/>
        <v>0</v>
      </c>
      <c r="U171" s="266">
        <f t="shared" si="39"/>
        <v>180000</v>
      </c>
      <c r="V171" s="266">
        <v>0</v>
      </c>
    </row>
    <row r="172" spans="1:16124" ht="27.95" hidden="1" customHeight="1">
      <c r="A172" s="229"/>
      <c r="B172" s="229"/>
      <c r="C172" s="229"/>
      <c r="D172" s="260"/>
      <c r="E172" s="260"/>
      <c r="F172" s="260"/>
      <c r="G172" s="260"/>
      <c r="H172" s="268" t="s">
        <v>1114</v>
      </c>
      <c r="I172" s="238"/>
      <c r="J172" s="262">
        <v>23</v>
      </c>
      <c r="K172" s="263" t="s">
        <v>1042</v>
      </c>
      <c r="L172" s="264">
        <v>35000</v>
      </c>
      <c r="M172" s="265">
        <f t="shared" si="40"/>
        <v>805000</v>
      </c>
      <c r="N172" s="262">
        <v>23</v>
      </c>
      <c r="O172" s="263" t="s">
        <v>1042</v>
      </c>
      <c r="P172" s="264">
        <v>35000</v>
      </c>
      <c r="Q172" s="266">
        <f t="shared" si="36"/>
        <v>805000</v>
      </c>
      <c r="R172" s="267">
        <f t="shared" si="35"/>
        <v>1</v>
      </c>
      <c r="S172" s="266">
        <f t="shared" si="37"/>
        <v>0</v>
      </c>
      <c r="T172" s="266">
        <f t="shared" si="38"/>
        <v>0</v>
      </c>
      <c r="U172" s="266">
        <f t="shared" si="39"/>
        <v>805000</v>
      </c>
      <c r="V172" s="266">
        <v>0</v>
      </c>
    </row>
    <row r="173" spans="1:16124" ht="27.95" hidden="1" customHeight="1">
      <c r="A173" s="244"/>
      <c r="B173" s="244"/>
      <c r="C173" s="244"/>
      <c r="D173" s="260"/>
      <c r="E173" s="260"/>
      <c r="F173" s="260"/>
      <c r="G173" s="260"/>
      <c r="H173" s="268" t="s">
        <v>1115</v>
      </c>
      <c r="I173" s="238"/>
      <c r="J173" s="262">
        <v>100</v>
      </c>
      <c r="K173" s="263" t="s">
        <v>1042</v>
      </c>
      <c r="L173" s="264">
        <v>10000</v>
      </c>
      <c r="M173" s="265">
        <f t="shared" si="40"/>
        <v>1000000</v>
      </c>
      <c r="N173" s="262">
        <v>100</v>
      </c>
      <c r="O173" s="263" t="s">
        <v>1042</v>
      </c>
      <c r="P173" s="264">
        <v>10000</v>
      </c>
      <c r="Q173" s="266">
        <f t="shared" si="36"/>
        <v>1000000</v>
      </c>
      <c r="R173" s="267">
        <f t="shared" si="35"/>
        <v>1</v>
      </c>
      <c r="S173" s="266">
        <f t="shared" si="37"/>
        <v>0</v>
      </c>
      <c r="T173" s="266">
        <f t="shared" si="38"/>
        <v>0</v>
      </c>
      <c r="U173" s="266">
        <f t="shared" si="39"/>
        <v>1000000</v>
      </c>
      <c r="V173" s="266">
        <v>0</v>
      </c>
    </row>
    <row r="174" spans="1:16124" ht="27.95" hidden="1" customHeight="1">
      <c r="A174" s="252"/>
      <c r="B174" s="252"/>
      <c r="C174" s="252"/>
      <c r="D174" s="260"/>
      <c r="E174" s="260"/>
      <c r="F174" s="260"/>
      <c r="G174" s="260"/>
      <c r="H174" s="268" t="s">
        <v>1116</v>
      </c>
      <c r="I174" s="238"/>
      <c r="J174" s="262">
        <v>58</v>
      </c>
      <c r="K174" s="263" t="s">
        <v>1042</v>
      </c>
      <c r="L174" s="264">
        <v>10000</v>
      </c>
      <c r="M174" s="265">
        <f t="shared" si="40"/>
        <v>580000</v>
      </c>
      <c r="N174" s="262">
        <v>58</v>
      </c>
      <c r="O174" s="263" t="s">
        <v>1042</v>
      </c>
      <c r="P174" s="264">
        <v>10000</v>
      </c>
      <c r="Q174" s="266">
        <f t="shared" si="36"/>
        <v>580000</v>
      </c>
      <c r="R174" s="267">
        <f t="shared" si="35"/>
        <v>1</v>
      </c>
      <c r="S174" s="266">
        <f t="shared" si="37"/>
        <v>0</v>
      </c>
      <c r="T174" s="266">
        <f t="shared" si="38"/>
        <v>0</v>
      </c>
      <c r="U174" s="266">
        <f t="shared" si="39"/>
        <v>580000</v>
      </c>
      <c r="V174" s="266">
        <v>0</v>
      </c>
    </row>
    <row r="175" spans="1:16124" ht="27.95" hidden="1" customHeight="1">
      <c r="A175" s="229" t="s">
        <v>362</v>
      </c>
      <c r="B175" s="229" t="s">
        <v>960</v>
      </c>
      <c r="C175" s="270" t="s">
        <v>1043</v>
      </c>
      <c r="D175" s="252" t="s">
        <v>363</v>
      </c>
      <c r="E175" s="252" t="s">
        <v>970</v>
      </c>
      <c r="F175" s="252">
        <v>2</v>
      </c>
      <c r="G175" s="252" t="s">
        <v>959</v>
      </c>
      <c r="H175" s="253" t="s">
        <v>135</v>
      </c>
      <c r="I175" s="238"/>
      <c r="J175" s="254"/>
      <c r="K175" s="255"/>
      <c r="L175" s="256"/>
      <c r="M175" s="257">
        <f>SUM(M176:M189)</f>
        <v>7175000</v>
      </c>
      <c r="N175" s="266">
        <v>0</v>
      </c>
      <c r="O175" s="261"/>
      <c r="P175" s="266">
        <v>0</v>
      </c>
      <c r="Q175" s="257">
        <f>SUM(Q176:Q189)</f>
        <v>7175000</v>
      </c>
      <c r="R175" s="267" t="str">
        <f t="shared" si="35"/>
        <v/>
      </c>
      <c r="S175" s="266">
        <f>+IF(W175="DDS",Q175,0)</f>
        <v>0</v>
      </c>
      <c r="T175" s="266">
        <f>+IF(W175="ADD",Q175,0)</f>
        <v>0</v>
      </c>
      <c r="U175" s="266">
        <f>+IF(W175="DDS",0,IF(W175="ADD",0,Q175))</f>
        <v>7175000</v>
      </c>
      <c r="V175" s="266">
        <v>0</v>
      </c>
    </row>
    <row r="176" spans="1:16124" ht="27.95" hidden="1" customHeight="1">
      <c r="A176" s="260" t="s">
        <v>362</v>
      </c>
      <c r="B176" s="260" t="s">
        <v>960</v>
      </c>
      <c r="C176" s="269" t="s">
        <v>1043</v>
      </c>
      <c r="D176" s="260" t="s">
        <v>363</v>
      </c>
      <c r="E176" s="260" t="s">
        <v>970</v>
      </c>
      <c r="F176" s="260">
        <v>2</v>
      </c>
      <c r="G176" s="269" t="s">
        <v>1002</v>
      </c>
      <c r="H176" s="261" t="s">
        <v>1117</v>
      </c>
      <c r="I176" s="238"/>
      <c r="J176" s="262"/>
      <c r="K176" s="263"/>
      <c r="L176" s="264"/>
      <c r="M176" s="265"/>
      <c r="N176" s="266">
        <v>0</v>
      </c>
      <c r="O176" s="261"/>
      <c r="P176" s="266">
        <v>0</v>
      </c>
      <c r="Q176" s="265"/>
      <c r="R176" s="267" t="str">
        <f t="shared" si="35"/>
        <v/>
      </c>
      <c r="S176" s="266">
        <f>+IF(W176="DDS",Q176,0)</f>
        <v>0</v>
      </c>
      <c r="T176" s="266">
        <f>+IF(W176="ADD",Q176,0)</f>
        <v>0</v>
      </c>
      <c r="U176" s="266">
        <f>+IF(W176="DDS",0,IF(W176="ADD",0,Q176))</f>
        <v>0</v>
      </c>
      <c r="V176" s="266">
        <v>0</v>
      </c>
    </row>
    <row r="177" spans="1:22" ht="27.95" hidden="1" customHeight="1">
      <c r="A177" s="260"/>
      <c r="B177" s="260"/>
      <c r="C177" s="260"/>
      <c r="D177" s="260"/>
      <c r="E177" s="260"/>
      <c r="F177" s="260"/>
      <c r="G177" s="269"/>
      <c r="H177" s="268" t="s">
        <v>1118</v>
      </c>
      <c r="I177" s="238"/>
      <c r="J177" s="262">
        <v>6</v>
      </c>
      <c r="K177" s="263" t="s">
        <v>1119</v>
      </c>
      <c r="L177" s="264">
        <v>200000</v>
      </c>
      <c r="M177" s="265">
        <f>+J177*L177</f>
        <v>1200000</v>
      </c>
      <c r="N177" s="262">
        <v>6</v>
      </c>
      <c r="O177" s="263" t="s">
        <v>1119</v>
      </c>
      <c r="P177" s="264">
        <v>200000</v>
      </c>
      <c r="Q177" s="266">
        <f>+N177*P177</f>
        <v>1200000</v>
      </c>
      <c r="R177" s="267">
        <f t="shared" si="35"/>
        <v>1</v>
      </c>
      <c r="S177" s="266">
        <f>+IF(W177="DDS",Q177,0)</f>
        <v>0</v>
      </c>
      <c r="T177" s="266">
        <f>+IF(W177="ADD",Q177,0)</f>
        <v>0</v>
      </c>
      <c r="U177" s="266">
        <f>+IF(W177="DDS",0,IF(W177="ADD",0,Q177))</f>
        <v>1200000</v>
      </c>
      <c r="V177" s="266">
        <v>0</v>
      </c>
    </row>
    <row r="178" spans="1:22" ht="27.95" hidden="1" customHeight="1">
      <c r="A178" s="260"/>
      <c r="B178" s="260"/>
      <c r="C178" s="260"/>
      <c r="D178" s="260"/>
      <c r="E178" s="260"/>
      <c r="F178" s="260"/>
      <c r="G178" s="269"/>
      <c r="H178" s="268" t="s">
        <v>1120</v>
      </c>
      <c r="I178" s="238"/>
      <c r="J178" s="262">
        <v>5</v>
      </c>
      <c r="K178" s="263" t="s">
        <v>1121</v>
      </c>
      <c r="L178" s="264">
        <v>175000</v>
      </c>
      <c r="M178" s="265">
        <f>+J178*L178</f>
        <v>875000</v>
      </c>
      <c r="N178" s="262">
        <v>5</v>
      </c>
      <c r="O178" s="263" t="s">
        <v>1121</v>
      </c>
      <c r="P178" s="264">
        <v>175000</v>
      </c>
      <c r="Q178" s="266">
        <f>+N178*P178</f>
        <v>875000</v>
      </c>
      <c r="R178" s="267">
        <f t="shared" si="35"/>
        <v>1</v>
      </c>
      <c r="S178" s="266">
        <f>+IF(W178="DDS",Q178,0)</f>
        <v>0</v>
      </c>
      <c r="T178" s="266">
        <f>+IF(W178="ADD",Q178,0)</f>
        <v>0</v>
      </c>
      <c r="U178" s="266">
        <f>+IF(W178="DDS",0,IF(W178="ADD",0,Q178))</f>
        <v>875000</v>
      </c>
      <c r="V178" s="266">
        <v>0</v>
      </c>
    </row>
    <row r="179" spans="1:22" ht="27.95" hidden="1" customHeight="1">
      <c r="A179" s="260"/>
      <c r="B179" s="260"/>
      <c r="C179" s="260"/>
      <c r="D179" s="260"/>
      <c r="E179" s="260"/>
      <c r="F179" s="260"/>
      <c r="G179" s="269"/>
      <c r="H179" s="268" t="s">
        <v>1122</v>
      </c>
      <c r="I179" s="238"/>
      <c r="J179" s="262">
        <v>5</v>
      </c>
      <c r="K179" s="263" t="s">
        <v>1121</v>
      </c>
      <c r="L179" s="264">
        <v>150000</v>
      </c>
      <c r="M179" s="265">
        <f>+J179*L179</f>
        <v>750000</v>
      </c>
      <c r="N179" s="262">
        <v>5</v>
      </c>
      <c r="O179" s="263" t="s">
        <v>1121</v>
      </c>
      <c r="P179" s="264">
        <v>150000</v>
      </c>
      <c r="Q179" s="266">
        <f>+N179*P179</f>
        <v>750000</v>
      </c>
      <c r="R179" s="267">
        <f t="shared" si="35"/>
        <v>1</v>
      </c>
      <c r="S179" s="266">
        <f>+IF(W179="DDS",Q179,0)</f>
        <v>0</v>
      </c>
      <c r="T179" s="266">
        <f>+IF(W179="ADD",Q179,0)</f>
        <v>0</v>
      </c>
      <c r="U179" s="266">
        <f>+IF(W179="DDS",0,IF(W179="ADD",0,Q179))</f>
        <v>750000</v>
      </c>
      <c r="V179" s="266">
        <v>0</v>
      </c>
    </row>
    <row r="180" spans="1:22" ht="27.95" hidden="1" customHeight="1">
      <c r="A180" s="260" t="s">
        <v>362</v>
      </c>
      <c r="B180" s="260" t="s">
        <v>960</v>
      </c>
      <c r="C180" s="269" t="s">
        <v>1043</v>
      </c>
      <c r="D180" s="260" t="s">
        <v>363</v>
      </c>
      <c r="E180" s="260" t="s">
        <v>970</v>
      </c>
      <c r="F180" s="260">
        <v>2</v>
      </c>
      <c r="G180" s="260">
        <v>99</v>
      </c>
      <c r="H180" s="261" t="s">
        <v>533</v>
      </c>
      <c r="I180" s="238"/>
      <c r="J180" s="262"/>
      <c r="K180" s="263"/>
      <c r="L180" s="264"/>
      <c r="M180" s="265"/>
      <c r="N180" s="266"/>
      <c r="O180" s="261"/>
      <c r="P180" s="266"/>
      <c r="Q180" s="257"/>
      <c r="R180" s="267" t="str">
        <f t="shared" si="35"/>
        <v/>
      </c>
      <c r="S180" s="257"/>
      <c r="T180" s="257">
        <f>SUM(T181:T192)</f>
        <v>0</v>
      </c>
      <c r="U180" s="257">
        <f>SUM(U181:U192)</f>
        <v>10350000</v>
      </c>
      <c r="V180" s="257">
        <f>SUM(V181:V192)</f>
        <v>0</v>
      </c>
    </row>
    <row r="181" spans="1:22" ht="27.95" hidden="1" customHeight="1">
      <c r="A181" s="260"/>
      <c r="B181" s="260"/>
      <c r="C181" s="269"/>
      <c r="D181" s="260"/>
      <c r="E181" s="260"/>
      <c r="F181" s="260"/>
      <c r="G181" s="260"/>
      <c r="H181" s="268" t="s">
        <v>1123</v>
      </c>
      <c r="I181" s="238"/>
      <c r="J181" s="262">
        <v>1</v>
      </c>
      <c r="K181" s="263" t="s">
        <v>1121</v>
      </c>
      <c r="L181" s="264">
        <v>750000</v>
      </c>
      <c r="M181" s="265">
        <f t="shared" ref="M181:M186" si="41">+J181*L181</f>
        <v>750000</v>
      </c>
      <c r="N181" s="262">
        <v>1</v>
      </c>
      <c r="O181" s="263" t="s">
        <v>1121</v>
      </c>
      <c r="P181" s="264">
        <v>750000</v>
      </c>
      <c r="Q181" s="266">
        <f t="shared" ref="Q181:Q186" si="42">+N181*P181</f>
        <v>750000</v>
      </c>
      <c r="R181" s="267">
        <f t="shared" si="35"/>
        <v>1</v>
      </c>
      <c r="S181" s="266">
        <f t="shared" ref="S181:S186" si="43">+IF(W181="DDS",Q181,0)</f>
        <v>0</v>
      </c>
      <c r="T181" s="266">
        <f t="shared" ref="T181:T186" si="44">+IF(W181="ADD",Q181,0)</f>
        <v>0</v>
      </c>
      <c r="U181" s="266">
        <f t="shared" ref="U181:U186" si="45">+IF(W181="DDS",0,IF(W181="ADD",0,Q181))</f>
        <v>750000</v>
      </c>
      <c r="V181" s="266">
        <v>0</v>
      </c>
    </row>
    <row r="182" spans="1:22" ht="27.95" hidden="1" customHeight="1">
      <c r="A182" s="260"/>
      <c r="B182" s="260"/>
      <c r="C182" s="260"/>
      <c r="D182" s="260"/>
      <c r="E182" s="260"/>
      <c r="F182" s="260"/>
      <c r="G182" s="260"/>
      <c r="H182" s="268" t="s">
        <v>1124</v>
      </c>
      <c r="I182" s="238"/>
      <c r="J182" s="262">
        <v>1</v>
      </c>
      <c r="K182" s="263" t="s">
        <v>1121</v>
      </c>
      <c r="L182" s="264">
        <v>650000</v>
      </c>
      <c r="M182" s="265">
        <f t="shared" si="41"/>
        <v>650000</v>
      </c>
      <c r="N182" s="262">
        <v>1</v>
      </c>
      <c r="O182" s="263" t="s">
        <v>1121</v>
      </c>
      <c r="P182" s="264">
        <v>650000</v>
      </c>
      <c r="Q182" s="266">
        <f t="shared" si="42"/>
        <v>650000</v>
      </c>
      <c r="R182" s="267">
        <f t="shared" si="35"/>
        <v>1</v>
      </c>
      <c r="S182" s="266">
        <f t="shared" si="43"/>
        <v>0</v>
      </c>
      <c r="T182" s="266">
        <f t="shared" si="44"/>
        <v>0</v>
      </c>
      <c r="U182" s="266">
        <f t="shared" si="45"/>
        <v>650000</v>
      </c>
      <c r="V182" s="266">
        <v>0</v>
      </c>
    </row>
    <row r="183" spans="1:22" ht="27.95" hidden="1" customHeight="1">
      <c r="A183" s="260"/>
      <c r="B183" s="260"/>
      <c r="C183" s="260"/>
      <c r="D183" s="260"/>
      <c r="E183" s="260"/>
      <c r="F183" s="260"/>
      <c r="G183" s="260"/>
      <c r="H183" s="268" t="s">
        <v>1125</v>
      </c>
      <c r="I183" s="238"/>
      <c r="J183" s="262">
        <v>1</v>
      </c>
      <c r="K183" s="263" t="s">
        <v>1121</v>
      </c>
      <c r="L183" s="264">
        <v>550000</v>
      </c>
      <c r="M183" s="265">
        <f t="shared" si="41"/>
        <v>550000</v>
      </c>
      <c r="N183" s="262">
        <v>1</v>
      </c>
      <c r="O183" s="263" t="s">
        <v>1121</v>
      </c>
      <c r="P183" s="264">
        <v>550000</v>
      </c>
      <c r="Q183" s="266">
        <f t="shared" si="42"/>
        <v>550000</v>
      </c>
      <c r="R183" s="267">
        <f t="shared" si="35"/>
        <v>1</v>
      </c>
      <c r="S183" s="266">
        <f t="shared" si="43"/>
        <v>0</v>
      </c>
      <c r="T183" s="266">
        <f t="shared" si="44"/>
        <v>0</v>
      </c>
      <c r="U183" s="266">
        <f t="shared" si="45"/>
        <v>550000</v>
      </c>
      <c r="V183" s="266">
        <v>0</v>
      </c>
    </row>
    <row r="184" spans="1:22" ht="27.95" hidden="1" customHeight="1">
      <c r="A184" s="260"/>
      <c r="B184" s="260"/>
      <c r="C184" s="260"/>
      <c r="D184" s="260"/>
      <c r="E184" s="260"/>
      <c r="F184" s="260"/>
      <c r="G184" s="260"/>
      <c r="H184" s="268" t="s">
        <v>1126</v>
      </c>
      <c r="I184" s="238"/>
      <c r="J184" s="262">
        <v>1</v>
      </c>
      <c r="K184" s="263" t="s">
        <v>1121</v>
      </c>
      <c r="L184" s="264">
        <v>550000</v>
      </c>
      <c r="M184" s="265">
        <f t="shared" si="41"/>
        <v>550000</v>
      </c>
      <c r="N184" s="262">
        <v>1</v>
      </c>
      <c r="O184" s="263" t="s">
        <v>1121</v>
      </c>
      <c r="P184" s="264">
        <v>550000</v>
      </c>
      <c r="Q184" s="266">
        <f t="shared" si="42"/>
        <v>550000</v>
      </c>
      <c r="R184" s="267">
        <f t="shared" si="35"/>
        <v>1</v>
      </c>
      <c r="S184" s="266">
        <f t="shared" si="43"/>
        <v>0</v>
      </c>
      <c r="T184" s="266">
        <f t="shared" si="44"/>
        <v>0</v>
      </c>
      <c r="U184" s="266">
        <f t="shared" si="45"/>
        <v>550000</v>
      </c>
      <c r="V184" s="266">
        <v>0</v>
      </c>
    </row>
    <row r="185" spans="1:22" ht="27.95" hidden="1" customHeight="1">
      <c r="A185" s="252"/>
      <c r="B185" s="252"/>
      <c r="C185" s="252"/>
      <c r="D185" s="260"/>
      <c r="E185" s="260"/>
      <c r="F185" s="260"/>
      <c r="G185" s="260"/>
      <c r="H185" s="268" t="s">
        <v>1127</v>
      </c>
      <c r="I185" s="230"/>
      <c r="J185" s="262">
        <v>1</v>
      </c>
      <c r="K185" s="263" t="s">
        <v>1121</v>
      </c>
      <c r="L185" s="264">
        <v>500000</v>
      </c>
      <c r="M185" s="265">
        <f t="shared" si="41"/>
        <v>500000</v>
      </c>
      <c r="N185" s="262">
        <v>1</v>
      </c>
      <c r="O185" s="263" t="s">
        <v>1121</v>
      </c>
      <c r="P185" s="264">
        <v>500000</v>
      </c>
      <c r="Q185" s="266">
        <f t="shared" si="42"/>
        <v>500000</v>
      </c>
      <c r="R185" s="267">
        <f t="shared" si="35"/>
        <v>1</v>
      </c>
      <c r="S185" s="266">
        <f t="shared" si="43"/>
        <v>0</v>
      </c>
      <c r="T185" s="266">
        <f t="shared" si="44"/>
        <v>0</v>
      </c>
      <c r="U185" s="266">
        <f t="shared" si="45"/>
        <v>500000</v>
      </c>
      <c r="V185" s="266">
        <v>0</v>
      </c>
    </row>
    <row r="186" spans="1:22" ht="27.95" hidden="1" customHeight="1">
      <c r="A186" s="260"/>
      <c r="B186" s="260"/>
      <c r="C186" s="260"/>
      <c r="D186" s="260"/>
      <c r="E186" s="260"/>
      <c r="F186" s="260"/>
      <c r="G186" s="260"/>
      <c r="H186" s="268" t="s">
        <v>1128</v>
      </c>
      <c r="I186" s="238"/>
      <c r="J186" s="262">
        <v>1</v>
      </c>
      <c r="K186" s="263" t="s">
        <v>1121</v>
      </c>
      <c r="L186" s="264">
        <v>450000</v>
      </c>
      <c r="M186" s="265">
        <f t="shared" si="41"/>
        <v>450000</v>
      </c>
      <c r="N186" s="262">
        <v>1</v>
      </c>
      <c r="O186" s="263" t="s">
        <v>1121</v>
      </c>
      <c r="P186" s="264">
        <v>450000</v>
      </c>
      <c r="Q186" s="266">
        <f t="shared" si="42"/>
        <v>450000</v>
      </c>
      <c r="R186" s="267">
        <f t="shared" si="35"/>
        <v>1</v>
      </c>
      <c r="S186" s="266">
        <f t="shared" si="43"/>
        <v>0</v>
      </c>
      <c r="T186" s="266">
        <f t="shared" si="44"/>
        <v>0</v>
      </c>
      <c r="U186" s="266">
        <f t="shared" si="45"/>
        <v>450000</v>
      </c>
      <c r="V186" s="266">
        <v>0</v>
      </c>
    </row>
    <row r="187" spans="1:22" ht="27.95" hidden="1" customHeight="1">
      <c r="A187" s="260"/>
      <c r="B187" s="260"/>
      <c r="C187" s="260"/>
      <c r="D187" s="260"/>
      <c r="E187" s="260"/>
      <c r="F187" s="260"/>
      <c r="G187" s="260"/>
      <c r="H187" s="268" t="s">
        <v>1129</v>
      </c>
      <c r="I187" s="238"/>
      <c r="J187" s="262">
        <v>1</v>
      </c>
      <c r="K187" s="263" t="s">
        <v>1121</v>
      </c>
      <c r="L187" s="264">
        <v>350000</v>
      </c>
      <c r="M187" s="265">
        <f>+J187*L187</f>
        <v>350000</v>
      </c>
      <c r="N187" s="262">
        <v>1</v>
      </c>
      <c r="O187" s="263" t="s">
        <v>1121</v>
      </c>
      <c r="P187" s="264">
        <v>350000</v>
      </c>
      <c r="Q187" s="266">
        <f>+N187*P187</f>
        <v>350000</v>
      </c>
      <c r="R187" s="267">
        <f t="shared" si="35"/>
        <v>1</v>
      </c>
      <c r="S187" s="266">
        <f>+IF(W187="DDS",Q187,0)</f>
        <v>0</v>
      </c>
      <c r="T187" s="266">
        <f>+IF(W187="ADD",Q187,0)</f>
        <v>0</v>
      </c>
      <c r="U187" s="266">
        <f>+IF(W187="DDS",0,IF(W187="ADD",0,Q187))</f>
        <v>350000</v>
      </c>
      <c r="V187" s="266">
        <v>0</v>
      </c>
    </row>
    <row r="188" spans="1:22" ht="27.95" hidden="1" customHeight="1">
      <c r="A188" s="260"/>
      <c r="B188" s="260"/>
      <c r="C188" s="260"/>
      <c r="D188" s="260"/>
      <c r="E188" s="260"/>
      <c r="F188" s="260"/>
      <c r="G188" s="260"/>
      <c r="H188" s="268" t="s">
        <v>1130</v>
      </c>
      <c r="I188" s="238"/>
      <c r="J188" s="262">
        <v>1</v>
      </c>
      <c r="K188" s="263" t="s">
        <v>1121</v>
      </c>
      <c r="L188" s="264">
        <v>300000</v>
      </c>
      <c r="M188" s="265">
        <f>+J188*L188</f>
        <v>300000</v>
      </c>
      <c r="N188" s="262">
        <v>1</v>
      </c>
      <c r="O188" s="263" t="s">
        <v>1121</v>
      </c>
      <c r="P188" s="264">
        <v>300000</v>
      </c>
      <c r="Q188" s="266">
        <f>+N188*P188</f>
        <v>300000</v>
      </c>
      <c r="R188" s="267">
        <f t="shared" si="35"/>
        <v>1</v>
      </c>
      <c r="S188" s="266">
        <f>+IF(W188="DDS",Q188,0)</f>
        <v>0</v>
      </c>
      <c r="T188" s="266">
        <f>+IF(W188="ADD",Q188,0)</f>
        <v>0</v>
      </c>
      <c r="U188" s="266">
        <f>+IF(W188="DDS",0,IF(W188="ADD",0,Q188))</f>
        <v>300000</v>
      </c>
      <c r="V188" s="266">
        <v>0</v>
      </c>
    </row>
    <row r="189" spans="1:22" ht="27.95" hidden="1" customHeight="1">
      <c r="A189" s="260"/>
      <c r="B189" s="260"/>
      <c r="C189" s="260"/>
      <c r="D189" s="260"/>
      <c r="E189" s="260"/>
      <c r="F189" s="260"/>
      <c r="G189" s="260"/>
      <c r="H189" s="268" t="s">
        <v>1131</v>
      </c>
      <c r="I189" s="238"/>
      <c r="J189" s="262">
        <v>1</v>
      </c>
      <c r="K189" s="263" t="s">
        <v>1121</v>
      </c>
      <c r="L189" s="264">
        <v>250000</v>
      </c>
      <c r="M189" s="265">
        <f>+J189*L189</f>
        <v>250000</v>
      </c>
      <c r="N189" s="262">
        <v>1</v>
      </c>
      <c r="O189" s="263" t="s">
        <v>1121</v>
      </c>
      <c r="P189" s="264">
        <v>250000</v>
      </c>
      <c r="Q189" s="266">
        <f>+N189*P189</f>
        <v>250000</v>
      </c>
      <c r="R189" s="267">
        <f t="shared" si="35"/>
        <v>1</v>
      </c>
      <c r="S189" s="266">
        <f>+IF(W189="DDS",Q189,0)</f>
        <v>0</v>
      </c>
      <c r="T189" s="266">
        <f>+IF(W189="ADD",Q189,0)</f>
        <v>0</v>
      </c>
      <c r="U189" s="266">
        <f>+IF(W189="DDS",0,IF(W189="ADD",0,Q189))</f>
        <v>250000</v>
      </c>
      <c r="V189" s="266">
        <v>0</v>
      </c>
    </row>
    <row r="190" spans="1:22" ht="27.95" hidden="1" customHeight="1">
      <c r="A190" s="229" t="s">
        <v>362</v>
      </c>
      <c r="B190" s="229" t="s">
        <v>960</v>
      </c>
      <c r="C190" s="270" t="s">
        <v>1043</v>
      </c>
      <c r="D190" s="252" t="s">
        <v>363</v>
      </c>
      <c r="E190" s="252" t="s">
        <v>970</v>
      </c>
      <c r="F190" s="252">
        <v>7</v>
      </c>
      <c r="G190" s="252" t="s">
        <v>959</v>
      </c>
      <c r="H190" s="253" t="s">
        <v>140</v>
      </c>
      <c r="I190" s="238"/>
      <c r="J190" s="254"/>
      <c r="K190" s="255"/>
      <c r="L190" s="256"/>
      <c r="M190" s="257">
        <f>SUM(M191:M192)</f>
        <v>3000000</v>
      </c>
      <c r="N190" s="266"/>
      <c r="O190" s="261"/>
      <c r="P190" s="266"/>
      <c r="Q190" s="257">
        <f>SUM(Q191:Q192)</f>
        <v>3000000</v>
      </c>
      <c r="R190" s="267" t="str">
        <f t="shared" si="35"/>
        <v/>
      </c>
      <c r="S190" s="257">
        <f>SUM(S191:S192)</f>
        <v>0</v>
      </c>
      <c r="T190" s="257">
        <f>SUM(T191:T192)</f>
        <v>0</v>
      </c>
      <c r="U190" s="257">
        <f>SUM(U191:U192)</f>
        <v>3000000</v>
      </c>
      <c r="V190" s="257">
        <f>SUM(V191:V192)</f>
        <v>0</v>
      </c>
    </row>
    <row r="191" spans="1:22" ht="27.95" hidden="1" customHeight="1">
      <c r="A191" s="260" t="s">
        <v>362</v>
      </c>
      <c r="B191" s="260" t="s">
        <v>960</v>
      </c>
      <c r="C191" s="269" t="s">
        <v>1043</v>
      </c>
      <c r="D191" s="260" t="s">
        <v>363</v>
      </c>
      <c r="E191" s="260" t="s">
        <v>970</v>
      </c>
      <c r="F191" s="260">
        <v>7</v>
      </c>
      <c r="G191" s="269">
        <v>99</v>
      </c>
      <c r="H191" s="261" t="s">
        <v>256</v>
      </c>
      <c r="I191" s="238"/>
      <c r="J191" s="262"/>
      <c r="K191" s="263"/>
      <c r="L191" s="264"/>
      <c r="M191" s="265"/>
      <c r="N191" s="266">
        <v>0</v>
      </c>
      <c r="O191" s="261"/>
      <c r="P191" s="266">
        <v>0</v>
      </c>
      <c r="Q191" s="265"/>
      <c r="R191" s="267" t="str">
        <f t="shared" si="35"/>
        <v/>
      </c>
      <c r="S191" s="266">
        <f>+IF(W191="DDS",Q191,0)</f>
        <v>0</v>
      </c>
      <c r="T191" s="266">
        <f>+IF(W191="ADD",Q191,0)</f>
        <v>0</v>
      </c>
      <c r="U191" s="266">
        <f>+IF(W191="DDS",0,IF(W191="ADD",0,Q191))</f>
        <v>0</v>
      </c>
      <c r="V191" s="266">
        <v>0</v>
      </c>
    </row>
    <row r="192" spans="1:22" ht="27.95" hidden="1" customHeight="1">
      <c r="A192" s="260"/>
      <c r="B192" s="260"/>
      <c r="C192" s="260"/>
      <c r="D192" s="260"/>
      <c r="E192" s="260"/>
      <c r="F192" s="260"/>
      <c r="G192" s="260"/>
      <c r="H192" s="268" t="s">
        <v>1132</v>
      </c>
      <c r="I192" s="238"/>
      <c r="J192" s="262">
        <v>6</v>
      </c>
      <c r="K192" s="263" t="s">
        <v>1133</v>
      </c>
      <c r="L192" s="264">
        <v>500000</v>
      </c>
      <c r="M192" s="265">
        <f>+J192*L192</f>
        <v>3000000</v>
      </c>
      <c r="N192" s="262">
        <v>6</v>
      </c>
      <c r="O192" s="263" t="s">
        <v>1133</v>
      </c>
      <c r="P192" s="264">
        <v>500000</v>
      </c>
      <c r="Q192" s="266">
        <f>+N192*P192</f>
        <v>3000000</v>
      </c>
      <c r="R192" s="267">
        <f t="shared" si="35"/>
        <v>1</v>
      </c>
      <c r="S192" s="266">
        <f>+IF(W192="DDS",Q192,0)</f>
        <v>0</v>
      </c>
      <c r="T192" s="266">
        <f>+IF(W192="ADD",Q192,0)</f>
        <v>0</v>
      </c>
      <c r="U192" s="266">
        <f>+IF(W192="DDS",0,IF(W192="ADD",0,Q192))</f>
        <v>3000000</v>
      </c>
      <c r="V192" s="266">
        <v>0</v>
      </c>
    </row>
    <row r="193" spans="1:22" ht="27.95" customHeight="1">
      <c r="A193" s="229" t="s">
        <v>362</v>
      </c>
      <c r="B193" s="229" t="s">
        <v>963</v>
      </c>
      <c r="C193" s="260"/>
      <c r="D193" s="229"/>
      <c r="E193" s="229"/>
      <c r="F193" s="229" t="s">
        <v>959</v>
      </c>
      <c r="G193" s="229" t="s">
        <v>959</v>
      </c>
      <c r="H193" s="238" t="s">
        <v>1134</v>
      </c>
      <c r="I193" s="238"/>
      <c r="J193" s="231"/>
      <c r="K193" s="232"/>
      <c r="L193" s="237"/>
      <c r="M193" s="234">
        <f>+M194+M207+M226+M233+M202</f>
        <v>102680000</v>
      </c>
      <c r="N193" s="234"/>
      <c r="O193" s="280">
        <v>1</v>
      </c>
      <c r="P193" s="281" t="s">
        <v>1538</v>
      </c>
      <c r="Q193" s="234">
        <f>Q194+Q202+Q207+Q226+Q233</f>
        <v>39109200</v>
      </c>
      <c r="R193" s="236">
        <f>Q193/M193*100%</f>
        <v>0.38088430074016361</v>
      </c>
      <c r="S193" s="234">
        <f>S194+S202+S207+S226+S233</f>
        <v>0</v>
      </c>
      <c r="T193" s="234">
        <f>T194+T202+T207+T226+T233</f>
        <v>0</v>
      </c>
      <c r="U193" s="234">
        <f>U194+U202+U207+U226+U233</f>
        <v>39109200</v>
      </c>
      <c r="V193" s="234">
        <f>+V194+V226+V233</f>
        <v>0</v>
      </c>
    </row>
    <row r="194" spans="1:22" ht="37.5" customHeight="1">
      <c r="A194" s="229" t="s">
        <v>362</v>
      </c>
      <c r="B194" s="229" t="s">
        <v>963</v>
      </c>
      <c r="C194" s="270" t="s">
        <v>963</v>
      </c>
      <c r="D194" s="252"/>
      <c r="E194" s="252"/>
      <c r="F194" s="277"/>
      <c r="G194" s="252" t="s">
        <v>959</v>
      </c>
      <c r="H194" s="253" t="s">
        <v>372</v>
      </c>
      <c r="I194" s="238" t="s">
        <v>1135</v>
      </c>
      <c r="J194" s="279"/>
      <c r="K194" s="280">
        <v>1</v>
      </c>
      <c r="L194" s="281" t="s">
        <v>1538</v>
      </c>
      <c r="M194" s="257">
        <f>+M195</f>
        <v>4575000</v>
      </c>
      <c r="N194" s="257"/>
      <c r="O194" s="280">
        <v>1</v>
      </c>
      <c r="P194" s="281" t="s">
        <v>1538</v>
      </c>
      <c r="Q194" s="257">
        <f>+Q195</f>
        <v>4575000</v>
      </c>
      <c r="R194" s="236">
        <f>Q194/M194*100%</f>
        <v>1</v>
      </c>
      <c r="S194" s="257">
        <f>+S195</f>
        <v>0</v>
      </c>
      <c r="T194" s="257">
        <f>+T195</f>
        <v>0</v>
      </c>
      <c r="U194" s="257">
        <f>+U195</f>
        <v>4575000</v>
      </c>
      <c r="V194" s="257">
        <f>+V195</f>
        <v>0</v>
      </c>
    </row>
    <row r="195" spans="1:22" ht="27.95" hidden="1" customHeight="1">
      <c r="A195" s="260" t="s">
        <v>362</v>
      </c>
      <c r="B195" s="260" t="s">
        <v>963</v>
      </c>
      <c r="C195" s="269" t="s">
        <v>963</v>
      </c>
      <c r="D195" s="244" t="s">
        <v>363</v>
      </c>
      <c r="E195" s="244" t="s">
        <v>970</v>
      </c>
      <c r="F195" s="244" t="s">
        <v>959</v>
      </c>
      <c r="G195" s="244" t="s">
        <v>959</v>
      </c>
      <c r="H195" s="245" t="s">
        <v>1026</v>
      </c>
      <c r="I195" s="238"/>
      <c r="J195" s="246"/>
      <c r="K195" s="247"/>
      <c r="L195" s="248"/>
      <c r="M195" s="249">
        <f>+M196+M199</f>
        <v>4575000</v>
      </c>
      <c r="N195" s="249"/>
      <c r="O195" s="249">
        <f>+O196+O199</f>
        <v>0</v>
      </c>
      <c r="P195" s="249"/>
      <c r="Q195" s="249">
        <f>+Q196+Q199</f>
        <v>4575000</v>
      </c>
      <c r="R195" s="259" t="str">
        <f>IF(J195="","",Q195/M195)</f>
        <v/>
      </c>
      <c r="S195" s="249">
        <f>+S196+S199</f>
        <v>0</v>
      </c>
      <c r="T195" s="249">
        <f>+T196+T199</f>
        <v>0</v>
      </c>
      <c r="U195" s="249">
        <f>+U196+U199</f>
        <v>4575000</v>
      </c>
      <c r="V195" s="249">
        <f>+V196+V199</f>
        <v>0</v>
      </c>
    </row>
    <row r="196" spans="1:22" ht="27.95" hidden="1" customHeight="1">
      <c r="A196" s="260" t="s">
        <v>362</v>
      </c>
      <c r="B196" s="260" t="s">
        <v>963</v>
      </c>
      <c r="C196" s="269" t="s">
        <v>963</v>
      </c>
      <c r="D196" s="252" t="s">
        <v>363</v>
      </c>
      <c r="E196" s="252" t="s">
        <v>970</v>
      </c>
      <c r="F196" s="252">
        <v>1</v>
      </c>
      <c r="G196" s="252" t="s">
        <v>959</v>
      </c>
      <c r="H196" s="253" t="s">
        <v>134</v>
      </c>
      <c r="I196" s="238"/>
      <c r="J196" s="254"/>
      <c r="K196" s="255"/>
      <c r="L196" s="256"/>
      <c r="M196" s="257">
        <f>SUM(M197:M198)</f>
        <v>2850000</v>
      </c>
      <c r="N196" s="257"/>
      <c r="O196" s="257">
        <f>SUM(O197:O198)</f>
        <v>0</v>
      </c>
      <c r="P196" s="257"/>
      <c r="Q196" s="257">
        <f>SUM(Q197:Q198)</f>
        <v>3425000</v>
      </c>
      <c r="R196" s="267" t="str">
        <f>IF(J196="","",Q196/M196)</f>
        <v/>
      </c>
      <c r="S196" s="257">
        <f>SUM(S197:S198)</f>
        <v>0</v>
      </c>
      <c r="T196" s="257">
        <f>SUM(T197:T198)</f>
        <v>0</v>
      </c>
      <c r="U196" s="257">
        <f>SUM(U197:U198)</f>
        <v>3425000</v>
      </c>
      <c r="V196" s="257">
        <f>SUM(V197:V198)</f>
        <v>0</v>
      </c>
    </row>
    <row r="197" spans="1:22" ht="27.95" hidden="1" customHeight="1">
      <c r="A197" s="260" t="s">
        <v>362</v>
      </c>
      <c r="B197" s="260" t="s">
        <v>963</v>
      </c>
      <c r="C197" s="269" t="s">
        <v>963</v>
      </c>
      <c r="D197" s="260" t="s">
        <v>363</v>
      </c>
      <c r="E197" s="260" t="s">
        <v>970</v>
      </c>
      <c r="F197" s="260">
        <v>1</v>
      </c>
      <c r="G197" s="269" t="s">
        <v>1094</v>
      </c>
      <c r="H197" s="261" t="s">
        <v>1136</v>
      </c>
      <c r="I197" s="238"/>
      <c r="J197" s="262"/>
      <c r="K197" s="263"/>
      <c r="L197" s="264"/>
      <c r="M197" s="265"/>
      <c r="N197" s="266"/>
      <c r="O197" s="261"/>
      <c r="P197" s="266"/>
      <c r="Q197" s="266"/>
      <c r="R197" s="267"/>
      <c r="S197" s="266"/>
      <c r="T197" s="266"/>
      <c r="U197" s="266"/>
      <c r="V197" s="266"/>
    </row>
    <row r="198" spans="1:22" ht="27.95" hidden="1" customHeight="1">
      <c r="A198" s="260"/>
      <c r="B198" s="260"/>
      <c r="C198" s="260"/>
      <c r="D198" s="260"/>
      <c r="E198" s="260"/>
      <c r="F198" s="260"/>
      <c r="G198" s="269"/>
      <c r="H198" s="268" t="s">
        <v>1137</v>
      </c>
      <c r="I198" s="238"/>
      <c r="J198" s="262">
        <v>1</v>
      </c>
      <c r="K198" s="263" t="s">
        <v>1029</v>
      </c>
      <c r="L198" s="264">
        <v>2850000</v>
      </c>
      <c r="M198" s="265">
        <f>+J198*L198</f>
        <v>2850000</v>
      </c>
      <c r="N198" s="266">
        <v>1</v>
      </c>
      <c r="O198" s="261" t="s">
        <v>1029</v>
      </c>
      <c r="P198" s="266">
        <f>2850000+575000</f>
        <v>3425000</v>
      </c>
      <c r="Q198" s="266">
        <f>+N198*P198</f>
        <v>3425000</v>
      </c>
      <c r="R198" s="267">
        <f>IF(J198="","",Q198/M198)</f>
        <v>1.2017543859649122</v>
      </c>
      <c r="S198" s="266">
        <f>+IF(W198="DDS",Q198,0)</f>
        <v>0</v>
      </c>
      <c r="T198" s="266">
        <f>+IF(W198="ADD",Q198,0)</f>
        <v>0</v>
      </c>
      <c r="U198" s="266">
        <f>+IF(W198="DDS",0,IF(W198="ADD",0,Q198))</f>
        <v>3425000</v>
      </c>
      <c r="V198" s="266">
        <v>0</v>
      </c>
    </row>
    <row r="199" spans="1:22" ht="27.95" hidden="1" customHeight="1">
      <c r="A199" s="229" t="s">
        <v>362</v>
      </c>
      <c r="B199" s="229" t="s">
        <v>963</v>
      </c>
      <c r="C199" s="270" t="s">
        <v>963</v>
      </c>
      <c r="D199" s="252" t="s">
        <v>363</v>
      </c>
      <c r="E199" s="252" t="s">
        <v>970</v>
      </c>
      <c r="F199" s="252">
        <v>6</v>
      </c>
      <c r="G199" s="252" t="s">
        <v>959</v>
      </c>
      <c r="H199" s="253" t="s">
        <v>1138</v>
      </c>
      <c r="I199" s="238"/>
      <c r="J199" s="254"/>
      <c r="K199" s="255"/>
      <c r="L199" s="256"/>
      <c r="M199" s="257">
        <f>SUM(M200:M201)</f>
        <v>1725000</v>
      </c>
      <c r="N199" s="266">
        <v>0</v>
      </c>
      <c r="O199" s="261"/>
      <c r="P199" s="266">
        <v>0</v>
      </c>
      <c r="Q199" s="257">
        <f>SUM(Q200:Q201)</f>
        <v>1150000</v>
      </c>
      <c r="R199" s="267" t="str">
        <f>IF(J199="","",Q199/M199)</f>
        <v/>
      </c>
      <c r="S199" s="257">
        <f>SUM(S200:S201)</f>
        <v>0</v>
      </c>
      <c r="T199" s="257">
        <f>SUM(T200:T201)</f>
        <v>0</v>
      </c>
      <c r="U199" s="257">
        <f>SUM(U200:U201)</f>
        <v>1150000</v>
      </c>
      <c r="V199" s="266">
        <v>0</v>
      </c>
    </row>
    <row r="200" spans="1:22" ht="27.95" hidden="1" customHeight="1">
      <c r="A200" s="260" t="s">
        <v>362</v>
      </c>
      <c r="B200" s="260" t="s">
        <v>963</v>
      </c>
      <c r="C200" s="269" t="s">
        <v>963</v>
      </c>
      <c r="D200" s="260" t="s">
        <v>363</v>
      </c>
      <c r="E200" s="260" t="s">
        <v>970</v>
      </c>
      <c r="F200" s="260">
        <v>6</v>
      </c>
      <c r="G200" s="269">
        <v>99</v>
      </c>
      <c r="H200" s="261" t="s">
        <v>1139</v>
      </c>
      <c r="I200" s="238"/>
      <c r="J200" s="262"/>
      <c r="K200" s="263"/>
      <c r="L200" s="264"/>
      <c r="M200" s="265"/>
      <c r="N200" s="266">
        <v>0</v>
      </c>
      <c r="O200" s="261"/>
      <c r="P200" s="266">
        <v>0</v>
      </c>
      <c r="Q200" s="266">
        <f>+N200*P200</f>
        <v>0</v>
      </c>
      <c r="R200" s="267" t="str">
        <f>IF(J200="","",Q200/M200)</f>
        <v/>
      </c>
      <c r="S200" s="266">
        <f>+IF(W200="DDS",Q200,0)</f>
        <v>0</v>
      </c>
      <c r="T200" s="266">
        <f>+IF(W200="ADD",Q200,0)</f>
        <v>0</v>
      </c>
      <c r="U200" s="266">
        <f>+IF(W200="DDS",0,IF(W200="ADD",0,Q200))</f>
        <v>0</v>
      </c>
      <c r="V200" s="266">
        <v>0</v>
      </c>
    </row>
    <row r="201" spans="1:22" ht="27.95" hidden="1" customHeight="1">
      <c r="A201" s="244"/>
      <c r="B201" s="244"/>
      <c r="C201" s="244"/>
      <c r="D201" s="260"/>
      <c r="E201" s="260"/>
      <c r="F201" s="260"/>
      <c r="G201" s="269"/>
      <c r="H201" s="268" t="s">
        <v>1140</v>
      </c>
      <c r="I201" s="238"/>
      <c r="J201" s="262">
        <v>15</v>
      </c>
      <c r="K201" s="263" t="s">
        <v>1141</v>
      </c>
      <c r="L201" s="264">
        <v>115000</v>
      </c>
      <c r="M201" s="265">
        <f>+J201*L201</f>
        <v>1725000</v>
      </c>
      <c r="N201" s="262">
        <v>10</v>
      </c>
      <c r="O201" s="263" t="s">
        <v>1141</v>
      </c>
      <c r="P201" s="264">
        <v>115000</v>
      </c>
      <c r="Q201" s="266">
        <f>+N201*P201</f>
        <v>1150000</v>
      </c>
      <c r="R201" s="267">
        <f>IF(J201="","",Q201/M201)</f>
        <v>0.66666666666666663</v>
      </c>
      <c r="S201" s="266">
        <f>+IF(W201="DDS",Q201,0)</f>
        <v>0</v>
      </c>
      <c r="T201" s="266">
        <f>+IF(W201="ADD",Q201,0)</f>
        <v>0</v>
      </c>
      <c r="U201" s="266">
        <f>+IF(W201="DDS",0,IF(W201="ADD",0,Q201))</f>
        <v>1150000</v>
      </c>
      <c r="V201" s="266">
        <v>0</v>
      </c>
    </row>
    <row r="202" spans="1:22" ht="27.95" customHeight="1">
      <c r="A202" s="252">
        <v>1</v>
      </c>
      <c r="B202" s="277" t="s">
        <v>963</v>
      </c>
      <c r="C202" s="252">
        <v>90</v>
      </c>
      <c r="D202" s="252"/>
      <c r="E202" s="277"/>
      <c r="F202" s="252"/>
      <c r="G202" s="282"/>
      <c r="H202" s="283" t="s">
        <v>1142</v>
      </c>
      <c r="I202" s="238" t="s">
        <v>1143</v>
      </c>
      <c r="J202" s="262"/>
      <c r="K202" s="280">
        <v>1</v>
      </c>
      <c r="L202" s="281" t="s">
        <v>1538</v>
      </c>
      <c r="M202" s="257">
        <f>M203</f>
        <v>6500000</v>
      </c>
      <c r="N202" s="262"/>
      <c r="O202" s="280">
        <v>1</v>
      </c>
      <c r="P202" s="281" t="s">
        <v>1538</v>
      </c>
      <c r="Q202" s="257">
        <f>Q203</f>
        <v>6500000</v>
      </c>
      <c r="R202" s="236">
        <f>Q202/M202*100%</f>
        <v>1</v>
      </c>
      <c r="S202" s="257">
        <f>S203</f>
        <v>0</v>
      </c>
      <c r="T202" s="257">
        <f>T203</f>
        <v>0</v>
      </c>
      <c r="U202" s="257">
        <f>U203</f>
        <v>6500000</v>
      </c>
      <c r="V202" s="257">
        <f>+V203</f>
        <v>0</v>
      </c>
    </row>
    <row r="203" spans="1:22" ht="27.95" hidden="1" customHeight="1">
      <c r="A203" s="252">
        <v>1</v>
      </c>
      <c r="B203" s="277" t="s">
        <v>963</v>
      </c>
      <c r="C203" s="252">
        <v>90</v>
      </c>
      <c r="D203" s="260">
        <v>5</v>
      </c>
      <c r="E203" s="260">
        <v>3</v>
      </c>
      <c r="F203" s="260">
        <v>2</v>
      </c>
      <c r="G203" s="269"/>
      <c r="H203" s="268" t="s">
        <v>1144</v>
      </c>
      <c r="I203" s="238"/>
      <c r="J203" s="262"/>
      <c r="K203" s="263"/>
      <c r="L203" s="264"/>
      <c r="M203" s="257">
        <f>+M206+M205</f>
        <v>6500000</v>
      </c>
      <c r="N203" s="262"/>
      <c r="O203" s="263"/>
      <c r="P203" s="257"/>
      <c r="Q203" s="257">
        <f>+Q206+Q205</f>
        <v>6500000</v>
      </c>
      <c r="R203" s="259" t="str">
        <f t="shared" ref="R203:R219" si="46">IF(J203="","",Q203/M203)</f>
        <v/>
      </c>
      <c r="S203" s="257">
        <f>+S206+S205</f>
        <v>0</v>
      </c>
      <c r="T203" s="257">
        <f>+T206+T205</f>
        <v>0</v>
      </c>
      <c r="U203" s="257">
        <f>+U206+U205</f>
        <v>6500000</v>
      </c>
      <c r="V203" s="249">
        <f>+V204+V207</f>
        <v>0</v>
      </c>
    </row>
    <row r="204" spans="1:22" ht="27.95" hidden="1" customHeight="1">
      <c r="A204" s="252">
        <v>1</v>
      </c>
      <c r="B204" s="277" t="s">
        <v>963</v>
      </c>
      <c r="C204" s="252">
        <v>90</v>
      </c>
      <c r="D204" s="260">
        <v>5</v>
      </c>
      <c r="E204" s="260">
        <v>3</v>
      </c>
      <c r="F204" s="260">
        <v>2</v>
      </c>
      <c r="G204" s="269">
        <v>10</v>
      </c>
      <c r="H204" s="268" t="s">
        <v>1145</v>
      </c>
      <c r="I204" s="238"/>
      <c r="J204" s="262"/>
      <c r="K204" s="263"/>
      <c r="L204" s="264"/>
      <c r="M204" s="257">
        <f>+M205+M206</f>
        <v>6500000</v>
      </c>
      <c r="N204" s="262"/>
      <c r="O204" s="263"/>
      <c r="P204" s="257"/>
      <c r="Q204" s="257">
        <f>+Q205+Q206</f>
        <v>6500000</v>
      </c>
      <c r="R204" s="267" t="str">
        <f t="shared" si="46"/>
        <v/>
      </c>
      <c r="S204" s="257">
        <f>+S205+S206</f>
        <v>0</v>
      </c>
      <c r="T204" s="257">
        <f>+T205+T206</f>
        <v>0</v>
      </c>
      <c r="U204" s="257">
        <f>+U205+U206</f>
        <v>6500000</v>
      </c>
      <c r="V204" s="257">
        <f>SUM(V205:V210)</f>
        <v>0</v>
      </c>
    </row>
    <row r="205" spans="1:22" ht="27.95" hidden="1" customHeight="1">
      <c r="A205" s="244"/>
      <c r="B205" s="244"/>
      <c r="C205" s="244"/>
      <c r="D205" s="260"/>
      <c r="E205" s="260"/>
      <c r="F205" s="260"/>
      <c r="G205" s="269"/>
      <c r="H205" s="268" t="s">
        <v>1146</v>
      </c>
      <c r="I205" s="284"/>
      <c r="J205" s="262">
        <v>1</v>
      </c>
      <c r="K205" s="263" t="s">
        <v>1147</v>
      </c>
      <c r="L205" s="264">
        <v>4000000</v>
      </c>
      <c r="M205" s="265">
        <f>+J205*L205</f>
        <v>4000000</v>
      </c>
      <c r="N205" s="262">
        <v>1</v>
      </c>
      <c r="O205" s="263" t="s">
        <v>1147</v>
      </c>
      <c r="P205" s="264">
        <v>4000000</v>
      </c>
      <c r="Q205" s="266">
        <f>+N205*P205</f>
        <v>4000000</v>
      </c>
      <c r="R205" s="267">
        <f t="shared" si="46"/>
        <v>1</v>
      </c>
      <c r="S205" s="266">
        <f>+IF(W205="DDS",Q205,0)</f>
        <v>0</v>
      </c>
      <c r="T205" s="266">
        <f>+IF(W205="ADD",Q205,0)</f>
        <v>0</v>
      </c>
      <c r="U205" s="266">
        <f>+IF(W205="DDS",0,IF(W205="ADD",0,Q205))</f>
        <v>4000000</v>
      </c>
      <c r="V205" s="266"/>
    </row>
    <row r="206" spans="1:22" ht="27.95" hidden="1" customHeight="1">
      <c r="A206" s="244"/>
      <c r="B206" s="244"/>
      <c r="C206" s="244"/>
      <c r="D206" s="260"/>
      <c r="E206" s="260"/>
      <c r="F206" s="260"/>
      <c r="G206" s="269"/>
      <c r="H206" s="268" t="s">
        <v>1148</v>
      </c>
      <c r="I206" s="284"/>
      <c r="J206" s="262">
        <v>1</v>
      </c>
      <c r="K206" s="263" t="s">
        <v>1147</v>
      </c>
      <c r="L206" s="264">
        <v>2500000</v>
      </c>
      <c r="M206" s="265">
        <f>+J206*L206</f>
        <v>2500000</v>
      </c>
      <c r="N206" s="262">
        <v>1</v>
      </c>
      <c r="O206" s="263" t="s">
        <v>1147</v>
      </c>
      <c r="P206" s="264">
        <v>2500000</v>
      </c>
      <c r="Q206" s="266">
        <f>+N206*P206</f>
        <v>2500000</v>
      </c>
      <c r="R206" s="267">
        <f t="shared" si="46"/>
        <v>1</v>
      </c>
      <c r="S206" s="266">
        <f>+IF(W206="DDS",Q206,0)</f>
        <v>0</v>
      </c>
      <c r="T206" s="266">
        <f>+IF(W206="ADD",Q206,0)</f>
        <v>0</v>
      </c>
      <c r="U206" s="266">
        <f>+IF(W206="DDS",0,IF(W206="ADD",0,Q206))</f>
        <v>2500000</v>
      </c>
      <c r="V206" s="266"/>
    </row>
    <row r="207" spans="1:22" ht="27.95" customHeight="1">
      <c r="A207" s="229" t="s">
        <v>362</v>
      </c>
      <c r="B207" s="229" t="s">
        <v>963</v>
      </c>
      <c r="C207" s="270" t="s">
        <v>1149</v>
      </c>
      <c r="D207" s="252"/>
      <c r="E207" s="252"/>
      <c r="F207" s="252"/>
      <c r="G207" s="252" t="s">
        <v>959</v>
      </c>
      <c r="H207" s="253" t="s">
        <v>1150</v>
      </c>
      <c r="I207" s="238" t="s">
        <v>1151</v>
      </c>
      <c r="J207" s="279"/>
      <c r="K207" s="280">
        <v>3</v>
      </c>
      <c r="L207" s="281" t="s">
        <v>1538</v>
      </c>
      <c r="M207" s="257">
        <f>+M211+M210+M217+M222+M225</f>
        <v>77505000</v>
      </c>
      <c r="N207" s="258"/>
      <c r="O207" s="280">
        <v>1</v>
      </c>
      <c r="P207" s="281" t="s">
        <v>1538</v>
      </c>
      <c r="Q207" s="257">
        <f>+Q211+Q210+Q217+Q222+Q225</f>
        <v>17197000</v>
      </c>
      <c r="R207" s="236">
        <f>Q207/M207*100%</f>
        <v>0.22188245919618088</v>
      </c>
      <c r="S207" s="257">
        <f>+S211+S210+S217+S222+S225</f>
        <v>0</v>
      </c>
      <c r="T207" s="257">
        <f>+T211+T210+T217+T222+T225</f>
        <v>0</v>
      </c>
      <c r="U207" s="257">
        <f>+U211+U210+U217+U222+U225</f>
        <v>17197000</v>
      </c>
      <c r="V207" s="257">
        <f>+V211+V210</f>
        <v>0</v>
      </c>
    </row>
    <row r="208" spans="1:22" ht="27.95" hidden="1" customHeight="1">
      <c r="A208" s="229" t="s">
        <v>362</v>
      </c>
      <c r="B208" s="229" t="s">
        <v>963</v>
      </c>
      <c r="C208" s="270" t="s">
        <v>1149</v>
      </c>
      <c r="D208" s="252" t="s">
        <v>363</v>
      </c>
      <c r="E208" s="252" t="s">
        <v>970</v>
      </c>
      <c r="F208" s="252">
        <v>1</v>
      </c>
      <c r="G208" s="252" t="s">
        <v>959</v>
      </c>
      <c r="H208" s="253" t="s">
        <v>134</v>
      </c>
      <c r="I208" s="238"/>
      <c r="J208" s="254"/>
      <c r="K208" s="255"/>
      <c r="L208" s="256"/>
      <c r="M208" s="257">
        <f>+M210</f>
        <v>120000</v>
      </c>
      <c r="N208" s="266"/>
      <c r="O208" s="261"/>
      <c r="P208" s="266"/>
      <c r="Q208" s="257">
        <f>+Q210</f>
        <v>97000</v>
      </c>
      <c r="R208" s="267" t="str">
        <f t="shared" si="46"/>
        <v/>
      </c>
      <c r="S208" s="257">
        <f>+S210</f>
        <v>0</v>
      </c>
      <c r="T208" s="257">
        <f>+T210</f>
        <v>0</v>
      </c>
      <c r="U208" s="257">
        <f>+U210</f>
        <v>97000</v>
      </c>
      <c r="V208" s="257">
        <f>+V210</f>
        <v>0</v>
      </c>
    </row>
    <row r="209" spans="1:22" ht="27.95" hidden="1" customHeight="1">
      <c r="A209" s="260" t="s">
        <v>362</v>
      </c>
      <c r="B209" s="260" t="s">
        <v>963</v>
      </c>
      <c r="C209" s="270" t="s">
        <v>1149</v>
      </c>
      <c r="D209" s="260" t="s">
        <v>363</v>
      </c>
      <c r="E209" s="260" t="s">
        <v>970</v>
      </c>
      <c r="F209" s="260">
        <v>2</v>
      </c>
      <c r="G209" s="269" t="s">
        <v>960</v>
      </c>
      <c r="H209" s="261" t="s">
        <v>1152</v>
      </c>
      <c r="I209" s="238"/>
      <c r="J209" s="262"/>
      <c r="K209" s="263"/>
      <c r="L209" s="264"/>
      <c r="M209" s="265">
        <f>M210</f>
        <v>120000</v>
      </c>
      <c r="N209" s="266">
        <v>0</v>
      </c>
      <c r="O209" s="261"/>
      <c r="P209" s="266">
        <v>0</v>
      </c>
      <c r="Q209" s="266">
        <f>+N209*P209</f>
        <v>0</v>
      </c>
      <c r="R209" s="267" t="str">
        <f t="shared" si="46"/>
        <v/>
      </c>
      <c r="S209" s="266">
        <f>+IF(W209="DDS",Q209,0)</f>
        <v>0</v>
      </c>
      <c r="T209" s="266">
        <f>+IF(W209="ADD",Q209,0)</f>
        <v>0</v>
      </c>
      <c r="U209" s="266">
        <f>+IF(W209="DDS",0,IF(W209="ADD",0,Q209))</f>
        <v>0</v>
      </c>
      <c r="V209" s="266">
        <v>0</v>
      </c>
    </row>
    <row r="210" spans="1:22" ht="27.95" hidden="1" customHeight="1">
      <c r="A210" s="260"/>
      <c r="B210" s="260"/>
      <c r="C210" s="270"/>
      <c r="D210" s="260"/>
      <c r="E210" s="260"/>
      <c r="F210" s="260"/>
      <c r="G210" s="269"/>
      <c r="H210" s="268" t="s">
        <v>1153</v>
      </c>
      <c r="I210" s="238"/>
      <c r="J210" s="262">
        <v>10</v>
      </c>
      <c r="K210" s="263" t="s">
        <v>1154</v>
      </c>
      <c r="L210" s="264">
        <v>12000</v>
      </c>
      <c r="M210" s="265">
        <f>+J210*L210</f>
        <v>120000</v>
      </c>
      <c r="N210" s="266">
        <v>1</v>
      </c>
      <c r="O210" s="261" t="s">
        <v>1029</v>
      </c>
      <c r="P210" s="266">
        <v>97000</v>
      </c>
      <c r="Q210" s="266">
        <f>+N210*P210</f>
        <v>97000</v>
      </c>
      <c r="R210" s="267">
        <f t="shared" si="46"/>
        <v>0.80833333333333335</v>
      </c>
      <c r="S210" s="266">
        <f>+IF(W210="DDS",Q210,0)</f>
        <v>0</v>
      </c>
      <c r="T210" s="266">
        <f>+IF(W210="ADD",Q210,0)</f>
        <v>0</v>
      </c>
      <c r="U210" s="266">
        <f>+IF(W210="DDS",0,IF(W210="ADD",0,Q210))</f>
        <v>97000</v>
      </c>
      <c r="V210" s="266">
        <v>0</v>
      </c>
    </row>
    <row r="211" spans="1:22" ht="27.95" hidden="1" customHeight="1">
      <c r="A211" s="260" t="s">
        <v>362</v>
      </c>
      <c r="B211" s="260" t="s">
        <v>963</v>
      </c>
      <c r="C211" s="270" t="s">
        <v>1149</v>
      </c>
      <c r="D211" s="244" t="s">
        <v>363</v>
      </c>
      <c r="E211" s="244" t="s">
        <v>997</v>
      </c>
      <c r="F211" s="244" t="s">
        <v>959</v>
      </c>
      <c r="G211" s="244" t="s">
        <v>959</v>
      </c>
      <c r="H211" s="245" t="s">
        <v>141</v>
      </c>
      <c r="I211" s="238"/>
      <c r="J211" s="246"/>
      <c r="K211" s="247"/>
      <c r="L211" s="248"/>
      <c r="M211" s="249">
        <f>+M212</f>
        <v>600000</v>
      </c>
      <c r="N211" s="266"/>
      <c r="O211" s="261"/>
      <c r="P211" s="266"/>
      <c r="Q211" s="249">
        <f>+Q212</f>
        <v>600000</v>
      </c>
      <c r="R211" s="267" t="str">
        <f t="shared" si="46"/>
        <v/>
      </c>
      <c r="S211" s="249">
        <f>+S212</f>
        <v>0</v>
      </c>
      <c r="T211" s="249">
        <f>+T212</f>
        <v>0</v>
      </c>
      <c r="U211" s="249">
        <f>+U212</f>
        <v>600000</v>
      </c>
      <c r="V211" s="249">
        <f>+V212</f>
        <v>0</v>
      </c>
    </row>
    <row r="212" spans="1:22" ht="27.95" hidden="1" customHeight="1">
      <c r="A212" s="229" t="s">
        <v>362</v>
      </c>
      <c r="B212" s="229" t="s">
        <v>963</v>
      </c>
      <c r="C212" s="270" t="s">
        <v>1149</v>
      </c>
      <c r="D212" s="252" t="s">
        <v>363</v>
      </c>
      <c r="E212" s="252" t="s">
        <v>997</v>
      </c>
      <c r="F212" s="252">
        <v>2</v>
      </c>
      <c r="G212" s="252" t="s">
        <v>959</v>
      </c>
      <c r="H212" s="253" t="s">
        <v>143</v>
      </c>
      <c r="I212" s="238"/>
      <c r="J212" s="254"/>
      <c r="K212" s="255"/>
      <c r="L212" s="256"/>
      <c r="M212" s="257">
        <f>SUM(M213:M213)</f>
        <v>600000</v>
      </c>
      <c r="N212" s="266"/>
      <c r="O212" s="261"/>
      <c r="P212" s="266"/>
      <c r="Q212" s="257">
        <f>SUM(Q213:Q213)</f>
        <v>600000</v>
      </c>
      <c r="R212" s="267" t="str">
        <f t="shared" si="46"/>
        <v/>
      </c>
      <c r="S212" s="257">
        <f>SUM(S213:S213)</f>
        <v>0</v>
      </c>
      <c r="T212" s="257">
        <f>SUM(T213:T213)</f>
        <v>0</v>
      </c>
      <c r="U212" s="257">
        <f>SUM(U213:U213)</f>
        <v>600000</v>
      </c>
      <c r="V212" s="257">
        <f>SUM(V213:V213)</f>
        <v>0</v>
      </c>
    </row>
    <row r="213" spans="1:22" ht="27.95" hidden="1" customHeight="1">
      <c r="A213" s="260" t="s">
        <v>362</v>
      </c>
      <c r="B213" s="260" t="s">
        <v>963</v>
      </c>
      <c r="C213" s="270" t="s">
        <v>1149</v>
      </c>
      <c r="D213" s="260" t="s">
        <v>363</v>
      </c>
      <c r="E213" s="260" t="s">
        <v>997</v>
      </c>
      <c r="F213" s="260">
        <v>2</v>
      </c>
      <c r="G213" s="269" t="s">
        <v>960</v>
      </c>
      <c r="H213" s="261" t="s">
        <v>1155</v>
      </c>
      <c r="I213" s="238"/>
      <c r="J213" s="262"/>
      <c r="K213" s="263"/>
      <c r="L213" s="264"/>
      <c r="M213" s="265">
        <f>SUM(M214:M216)</f>
        <v>600000</v>
      </c>
      <c r="N213" s="266"/>
      <c r="O213" s="261"/>
      <c r="P213" s="266"/>
      <c r="Q213" s="265">
        <f>SUM(Q214:Q216)</f>
        <v>600000</v>
      </c>
      <c r="R213" s="267" t="str">
        <f t="shared" si="46"/>
        <v/>
      </c>
      <c r="S213" s="265">
        <f>SUM(S214:S216)</f>
        <v>0</v>
      </c>
      <c r="T213" s="265">
        <f>SUM(T214:T216)</f>
        <v>0</v>
      </c>
      <c r="U213" s="265">
        <f>SUM(U214:U216)</f>
        <v>600000</v>
      </c>
      <c r="V213" s="265">
        <f>SUM(V214:V225)</f>
        <v>0</v>
      </c>
    </row>
    <row r="214" spans="1:22" ht="27.95" hidden="1" customHeight="1">
      <c r="A214" s="229"/>
      <c r="B214" s="229"/>
      <c r="C214" s="229"/>
      <c r="D214" s="260"/>
      <c r="E214" s="260"/>
      <c r="F214" s="260"/>
      <c r="G214" s="269"/>
      <c r="H214" s="268" t="s">
        <v>1156</v>
      </c>
      <c r="I214" s="238"/>
      <c r="J214" s="262">
        <v>1</v>
      </c>
      <c r="K214" s="263" t="s">
        <v>967</v>
      </c>
      <c r="L214" s="264">
        <v>225000</v>
      </c>
      <c r="M214" s="265">
        <f>+J214*L214</f>
        <v>225000</v>
      </c>
      <c r="N214" s="262">
        <v>1</v>
      </c>
      <c r="O214" s="263" t="s">
        <v>967</v>
      </c>
      <c r="P214" s="264">
        <v>225000</v>
      </c>
      <c r="Q214" s="266">
        <f>+N214*P214</f>
        <v>225000</v>
      </c>
      <c r="R214" s="267">
        <f t="shared" si="46"/>
        <v>1</v>
      </c>
      <c r="S214" s="266">
        <f>+IF(W214="DDS",Q214,0)</f>
        <v>0</v>
      </c>
      <c r="T214" s="266">
        <f>+IF(W214="ADD",Q214,0)</f>
        <v>0</v>
      </c>
      <c r="U214" s="266">
        <f>+IF(W214="DDS",0,IF(W214="ADD",0,Q214))</f>
        <v>225000</v>
      </c>
      <c r="V214" s="266">
        <v>0</v>
      </c>
    </row>
    <row r="215" spans="1:22" ht="27.95" hidden="1" customHeight="1">
      <c r="A215" s="229"/>
      <c r="B215" s="229"/>
      <c r="C215" s="229"/>
      <c r="D215" s="260"/>
      <c r="E215" s="260"/>
      <c r="F215" s="260"/>
      <c r="G215" s="269"/>
      <c r="H215" s="268" t="s">
        <v>1157</v>
      </c>
      <c r="I215" s="238"/>
      <c r="J215" s="262">
        <v>1</v>
      </c>
      <c r="K215" s="263" t="s">
        <v>967</v>
      </c>
      <c r="L215" s="264">
        <v>200000</v>
      </c>
      <c r="M215" s="265">
        <f>+J215*L215</f>
        <v>200000</v>
      </c>
      <c r="N215" s="262">
        <v>1</v>
      </c>
      <c r="O215" s="263" t="s">
        <v>967</v>
      </c>
      <c r="P215" s="264">
        <v>200000</v>
      </c>
      <c r="Q215" s="266">
        <f>+N215*P215</f>
        <v>200000</v>
      </c>
      <c r="R215" s="267">
        <f t="shared" si="46"/>
        <v>1</v>
      </c>
      <c r="S215" s="266">
        <f>+IF(W215="DDS",Q215,0)</f>
        <v>0</v>
      </c>
      <c r="T215" s="266">
        <f>+IF(W215="ADD",Q215,0)</f>
        <v>0</v>
      </c>
      <c r="U215" s="266">
        <f>+IF(W215="DDS",0,IF(W215="ADD",0,Q215))</f>
        <v>200000</v>
      </c>
      <c r="V215" s="266">
        <v>0</v>
      </c>
    </row>
    <row r="216" spans="1:22" ht="27.95" hidden="1" customHeight="1">
      <c r="A216" s="229"/>
      <c r="B216" s="229"/>
      <c r="C216" s="229"/>
      <c r="D216" s="260"/>
      <c r="E216" s="260"/>
      <c r="F216" s="260"/>
      <c r="G216" s="269"/>
      <c r="H216" s="268" t="s">
        <v>1158</v>
      </c>
      <c r="I216" s="230"/>
      <c r="J216" s="262">
        <v>1</v>
      </c>
      <c r="K216" s="263" t="s">
        <v>967</v>
      </c>
      <c r="L216" s="264">
        <v>175000</v>
      </c>
      <c r="M216" s="265">
        <f>+J216*L216</f>
        <v>175000</v>
      </c>
      <c r="N216" s="262">
        <v>1</v>
      </c>
      <c r="O216" s="263" t="s">
        <v>967</v>
      </c>
      <c r="P216" s="264">
        <v>175000</v>
      </c>
      <c r="Q216" s="266">
        <f>+N216*P216</f>
        <v>175000</v>
      </c>
      <c r="R216" s="267">
        <f t="shared" si="46"/>
        <v>1</v>
      </c>
      <c r="S216" s="266">
        <f>+IF(W216="DDS",Q216,0)</f>
        <v>0</v>
      </c>
      <c r="T216" s="266">
        <f>+IF(W216="ADD",Q216,0)</f>
        <v>0</v>
      </c>
      <c r="U216" s="266">
        <f>+IF(W216="DDS",0,IF(W216="ADD",0,Q216))</f>
        <v>175000</v>
      </c>
      <c r="V216" s="266">
        <v>0</v>
      </c>
    </row>
    <row r="217" spans="1:22" ht="27.95" hidden="1" customHeight="1">
      <c r="A217" s="260" t="s">
        <v>362</v>
      </c>
      <c r="B217" s="260" t="s">
        <v>963</v>
      </c>
      <c r="C217" s="270" t="s">
        <v>1149</v>
      </c>
      <c r="D217" s="260" t="s">
        <v>363</v>
      </c>
      <c r="E217" s="260" t="s">
        <v>997</v>
      </c>
      <c r="F217" s="260">
        <v>2</v>
      </c>
      <c r="G217" s="269" t="s">
        <v>1002</v>
      </c>
      <c r="H217" s="261" t="s">
        <v>1159</v>
      </c>
      <c r="I217" s="238"/>
      <c r="J217" s="262"/>
      <c r="K217" s="263"/>
      <c r="L217" s="264"/>
      <c r="M217" s="265">
        <f>SUM(M218:M219)</f>
        <v>31525000</v>
      </c>
      <c r="N217" s="266"/>
      <c r="O217" s="261"/>
      <c r="P217" s="266"/>
      <c r="Q217" s="265">
        <f>SUM(Q218:Q224)</f>
        <v>16500000</v>
      </c>
      <c r="R217" s="267" t="str">
        <f t="shared" si="46"/>
        <v/>
      </c>
      <c r="S217" s="265">
        <f>SUM(S218:S229)</f>
        <v>0</v>
      </c>
      <c r="T217" s="265">
        <f>SUM(T218:T229)</f>
        <v>0</v>
      </c>
      <c r="U217" s="265">
        <f>SUM(U218:U225)</f>
        <v>16500000</v>
      </c>
      <c r="V217" s="265">
        <f>SUM(V218:V229)</f>
        <v>0</v>
      </c>
    </row>
    <row r="218" spans="1:22" ht="27.95" hidden="1" customHeight="1">
      <c r="A218" s="229"/>
      <c r="B218" s="229"/>
      <c r="C218" s="229"/>
      <c r="D218" s="260"/>
      <c r="E218" s="260"/>
      <c r="F218" s="260"/>
      <c r="G218" s="269"/>
      <c r="H218" s="268" t="s">
        <v>1160</v>
      </c>
      <c r="I218" s="238"/>
      <c r="J218" s="262">
        <v>47</v>
      </c>
      <c r="K218" s="263" t="s">
        <v>1154</v>
      </c>
      <c r="L218" s="264">
        <v>550000</v>
      </c>
      <c r="M218" s="265">
        <f>+J218*L218</f>
        <v>25850000</v>
      </c>
      <c r="N218" s="262">
        <v>30</v>
      </c>
      <c r="O218" s="263" t="s">
        <v>1154</v>
      </c>
      <c r="P218" s="264">
        <v>550000</v>
      </c>
      <c r="Q218" s="266">
        <f>+N218*P218</f>
        <v>16500000</v>
      </c>
      <c r="R218" s="267">
        <f t="shared" si="46"/>
        <v>0.63829787234042556</v>
      </c>
      <c r="S218" s="266">
        <f>+IF(W218="DDS",Q218,0)</f>
        <v>0</v>
      </c>
      <c r="T218" s="266">
        <f>+IF(W218="ADD",Q218,0)</f>
        <v>0</v>
      </c>
      <c r="U218" s="266">
        <f>+IF(W218="DDS",0,IF(W218="ADD",0,Q218))</f>
        <v>16500000</v>
      </c>
      <c r="V218" s="266">
        <v>0</v>
      </c>
    </row>
    <row r="219" spans="1:22" ht="27.95" hidden="1" customHeight="1">
      <c r="A219" s="229"/>
      <c r="B219" s="229"/>
      <c r="C219" s="229"/>
      <c r="D219" s="260"/>
      <c r="E219" s="260"/>
      <c r="F219" s="260"/>
      <c r="G219" s="269"/>
      <c r="H219" s="268" t="s">
        <v>1161</v>
      </c>
      <c r="I219" s="238"/>
      <c r="J219" s="262">
        <v>1</v>
      </c>
      <c r="K219" s="263" t="s">
        <v>1162</v>
      </c>
      <c r="L219" s="264">
        <v>5675000</v>
      </c>
      <c r="M219" s="265">
        <f>+J219*L219</f>
        <v>5675000</v>
      </c>
      <c r="N219" s="266">
        <v>0</v>
      </c>
      <c r="O219" s="261"/>
      <c r="P219" s="266">
        <v>0</v>
      </c>
      <c r="Q219" s="266">
        <f>+N219*P219</f>
        <v>0</v>
      </c>
      <c r="R219" s="267">
        <f t="shared" si="46"/>
        <v>0</v>
      </c>
      <c r="S219" s="266">
        <f>+IF(W219="DDS",Q219,0)</f>
        <v>0</v>
      </c>
      <c r="T219" s="266">
        <f>+IF(W219="ADD",Q219,0)</f>
        <v>0</v>
      </c>
      <c r="U219" s="266">
        <f>+IF(W219="DDS",0,IF(W219="ADD",0,Q219))</f>
        <v>0</v>
      </c>
      <c r="V219" s="266">
        <v>0</v>
      </c>
    </row>
    <row r="220" spans="1:22" ht="27.95" hidden="1" customHeight="1">
      <c r="A220" s="229"/>
      <c r="B220" s="260" t="s">
        <v>963</v>
      </c>
      <c r="C220" s="270" t="s">
        <v>1149</v>
      </c>
      <c r="D220" s="260">
        <v>5</v>
      </c>
      <c r="E220" s="260">
        <v>3</v>
      </c>
      <c r="F220" s="260">
        <v>2</v>
      </c>
      <c r="G220" s="269"/>
      <c r="H220" s="268" t="s">
        <v>1163</v>
      </c>
      <c r="I220" s="238"/>
      <c r="J220" s="262"/>
      <c r="K220" s="263"/>
      <c r="L220" s="264"/>
      <c r="M220" s="265"/>
      <c r="N220" s="266"/>
      <c r="O220" s="261"/>
      <c r="P220" s="266"/>
      <c r="Q220" s="266"/>
      <c r="R220" s="267"/>
      <c r="S220" s="266"/>
      <c r="T220" s="266"/>
      <c r="U220" s="266"/>
      <c r="V220" s="266"/>
    </row>
    <row r="221" spans="1:22" ht="27.95" hidden="1" customHeight="1">
      <c r="A221" s="229"/>
      <c r="B221" s="260" t="s">
        <v>963</v>
      </c>
      <c r="C221" s="270" t="s">
        <v>1149</v>
      </c>
      <c r="D221" s="260">
        <v>5</v>
      </c>
      <c r="E221" s="260">
        <v>3</v>
      </c>
      <c r="F221" s="260">
        <v>2</v>
      </c>
      <c r="G221" s="269" t="s">
        <v>1002</v>
      </c>
      <c r="H221" s="268" t="s">
        <v>1164</v>
      </c>
      <c r="I221" s="238"/>
      <c r="J221" s="262"/>
      <c r="K221" s="263"/>
      <c r="L221" s="264"/>
      <c r="M221" s="265"/>
      <c r="N221" s="266"/>
      <c r="O221" s="261"/>
      <c r="P221" s="266"/>
      <c r="Q221" s="266"/>
      <c r="R221" s="267"/>
      <c r="S221" s="266"/>
      <c r="T221" s="266"/>
      <c r="U221" s="266"/>
      <c r="V221" s="266"/>
    </row>
    <row r="222" spans="1:22" ht="27.95" hidden="1" customHeight="1">
      <c r="A222" s="229"/>
      <c r="B222" s="260" t="s">
        <v>963</v>
      </c>
      <c r="C222" s="270" t="s">
        <v>1149</v>
      </c>
      <c r="D222" s="260"/>
      <c r="E222" s="260"/>
      <c r="F222" s="260"/>
      <c r="G222" s="269"/>
      <c r="H222" s="268" t="s">
        <v>1165</v>
      </c>
      <c r="I222" s="238"/>
      <c r="J222" s="262">
        <v>65</v>
      </c>
      <c r="K222" s="263" t="s">
        <v>1046</v>
      </c>
      <c r="L222" s="264">
        <v>550000</v>
      </c>
      <c r="M222" s="265">
        <f>+J222*L222</f>
        <v>35750000</v>
      </c>
      <c r="N222" s="266">
        <v>0</v>
      </c>
      <c r="O222" s="261"/>
      <c r="P222" s="266">
        <v>0</v>
      </c>
      <c r="Q222" s="266">
        <f>+N222*P222</f>
        <v>0</v>
      </c>
      <c r="R222" s="267">
        <f>IF(J222="","",Q222/M222)</f>
        <v>0</v>
      </c>
      <c r="S222" s="266">
        <f>+IF(W222="DDS",Q222,0)</f>
        <v>0</v>
      </c>
      <c r="T222" s="266">
        <f>+IF(W222="ADD",Q222,0)</f>
        <v>0</v>
      </c>
      <c r="U222" s="266">
        <f>+IF(W222="DDS",0,IF(W222="ADD",0,Q222))</f>
        <v>0</v>
      </c>
      <c r="V222" s="266">
        <v>0</v>
      </c>
    </row>
    <row r="223" spans="1:22" ht="27.95" hidden="1" customHeight="1">
      <c r="A223" s="229"/>
      <c r="B223" s="260" t="s">
        <v>963</v>
      </c>
      <c r="C223" s="270" t="s">
        <v>1149</v>
      </c>
      <c r="D223" s="260">
        <v>5</v>
      </c>
      <c r="E223" s="260">
        <v>3</v>
      </c>
      <c r="F223" s="260">
        <v>2</v>
      </c>
      <c r="G223" s="269"/>
      <c r="H223" s="268" t="s">
        <v>1163</v>
      </c>
      <c r="I223" s="238"/>
      <c r="J223" s="262"/>
      <c r="K223" s="263"/>
      <c r="L223" s="264"/>
      <c r="M223" s="265"/>
      <c r="N223" s="266"/>
      <c r="O223" s="261"/>
      <c r="P223" s="266"/>
      <c r="Q223" s="266"/>
      <c r="R223" s="267"/>
      <c r="S223" s="266"/>
      <c r="T223" s="266"/>
      <c r="U223" s="266"/>
      <c r="V223" s="266"/>
    </row>
    <row r="224" spans="1:22" ht="27.95" hidden="1" customHeight="1">
      <c r="A224" s="229"/>
      <c r="B224" s="260" t="s">
        <v>963</v>
      </c>
      <c r="C224" s="270" t="s">
        <v>1149</v>
      </c>
      <c r="D224" s="260">
        <v>5</v>
      </c>
      <c r="E224" s="260">
        <v>3</v>
      </c>
      <c r="F224" s="269">
        <v>2</v>
      </c>
      <c r="G224" s="269" t="s">
        <v>1002</v>
      </c>
      <c r="H224" s="268" t="s">
        <v>1164</v>
      </c>
      <c r="I224" s="238"/>
      <c r="J224" s="262"/>
      <c r="K224" s="263"/>
      <c r="L224" s="264"/>
      <c r="M224" s="265"/>
      <c r="N224" s="266"/>
      <c r="O224" s="261"/>
      <c r="P224" s="266"/>
      <c r="Q224" s="266"/>
      <c r="R224" s="267"/>
      <c r="S224" s="266"/>
      <c r="T224" s="266"/>
      <c r="U224" s="266"/>
      <c r="V224" s="266"/>
    </row>
    <row r="225" spans="1:22" ht="27.95" hidden="1" customHeight="1">
      <c r="A225" s="229"/>
      <c r="B225" s="229"/>
      <c r="C225" s="229"/>
      <c r="D225" s="260"/>
      <c r="E225" s="260"/>
      <c r="F225" s="260"/>
      <c r="G225" s="269"/>
      <c r="H225" s="268" t="s">
        <v>1166</v>
      </c>
      <c r="I225" s="230"/>
      <c r="J225" s="262">
        <v>1</v>
      </c>
      <c r="K225" s="263" t="s">
        <v>1162</v>
      </c>
      <c r="L225" s="264">
        <v>9510000</v>
      </c>
      <c r="M225" s="265">
        <f>+J225*L225</f>
        <v>9510000</v>
      </c>
      <c r="N225" s="266">
        <v>0</v>
      </c>
      <c r="O225" s="261"/>
      <c r="P225" s="266">
        <v>0</v>
      </c>
      <c r="Q225" s="266">
        <f>+N225*P225</f>
        <v>0</v>
      </c>
      <c r="R225" s="267">
        <f>IF(J225="","",Q225/M225)</f>
        <v>0</v>
      </c>
      <c r="S225" s="266">
        <f>+IF(W225="DDS",Q225,0)</f>
        <v>0</v>
      </c>
      <c r="T225" s="266">
        <f>+IF(W225="ADD",Q225,0)</f>
        <v>0</v>
      </c>
      <c r="U225" s="266">
        <f>+IF(W225="DDS",0,IF(W225="ADD",0,Q225))</f>
        <v>0</v>
      </c>
      <c r="V225" s="266">
        <v>0</v>
      </c>
    </row>
    <row r="226" spans="1:22" ht="27.95" customHeight="1">
      <c r="A226" s="229" t="s">
        <v>362</v>
      </c>
      <c r="B226" s="229" t="s">
        <v>963</v>
      </c>
      <c r="C226" s="229" t="s">
        <v>1167</v>
      </c>
      <c r="D226" s="229"/>
      <c r="E226" s="229"/>
      <c r="F226" s="229"/>
      <c r="G226" s="229" t="s">
        <v>959</v>
      </c>
      <c r="H226" s="238" t="s">
        <v>359</v>
      </c>
      <c r="I226" s="238" t="s">
        <v>1168</v>
      </c>
      <c r="J226" s="239"/>
      <c r="K226" s="240">
        <v>3</v>
      </c>
      <c r="L226" s="241" t="s">
        <v>1147</v>
      </c>
      <c r="M226" s="234">
        <f>M227+M230</f>
        <v>2850000</v>
      </c>
      <c r="N226" s="234"/>
      <c r="O226" s="240">
        <v>3</v>
      </c>
      <c r="P226" s="241" t="s">
        <v>1147</v>
      </c>
      <c r="Q226" s="234">
        <f>Q227+Q230</f>
        <v>659200</v>
      </c>
      <c r="R226" s="236">
        <f>Q226/M226*100%</f>
        <v>0.23129824561403509</v>
      </c>
      <c r="S226" s="234">
        <f>S227+S230</f>
        <v>0</v>
      </c>
      <c r="T226" s="234">
        <f>T227+T230</f>
        <v>0</v>
      </c>
      <c r="U226" s="234">
        <f>U227+U230</f>
        <v>659200</v>
      </c>
      <c r="V226" s="234">
        <f>V227+V230</f>
        <v>0</v>
      </c>
    </row>
    <row r="227" spans="1:22" ht="27.95" hidden="1" customHeight="1">
      <c r="A227" s="260" t="s">
        <v>362</v>
      </c>
      <c r="B227" s="260" t="s">
        <v>963</v>
      </c>
      <c r="C227" s="229" t="s">
        <v>1167</v>
      </c>
      <c r="D227" s="252" t="s">
        <v>363</v>
      </c>
      <c r="E227" s="252" t="s">
        <v>970</v>
      </c>
      <c r="F227" s="252">
        <v>5</v>
      </c>
      <c r="G227" s="252" t="s">
        <v>959</v>
      </c>
      <c r="H227" s="253" t="s">
        <v>138</v>
      </c>
      <c r="I227" s="238"/>
      <c r="J227" s="254"/>
      <c r="K227" s="255"/>
      <c r="L227" s="256"/>
      <c r="M227" s="257">
        <f>M229</f>
        <v>1050000</v>
      </c>
      <c r="N227" s="257"/>
      <c r="O227" s="257"/>
      <c r="P227" s="257"/>
      <c r="Q227" s="257">
        <f>Q229</f>
        <v>199200</v>
      </c>
      <c r="R227" s="257"/>
      <c r="S227" s="257">
        <f>S229</f>
        <v>0</v>
      </c>
      <c r="T227" s="257">
        <f>T229</f>
        <v>0</v>
      </c>
      <c r="U227" s="257">
        <f>U229</f>
        <v>199200</v>
      </c>
      <c r="V227" s="257">
        <f>V229</f>
        <v>0</v>
      </c>
    </row>
    <row r="228" spans="1:22" ht="27.95" hidden="1" customHeight="1">
      <c r="A228" s="260" t="s">
        <v>362</v>
      </c>
      <c r="B228" s="260" t="s">
        <v>963</v>
      </c>
      <c r="C228" s="229" t="s">
        <v>1167</v>
      </c>
      <c r="D228" s="260" t="s">
        <v>363</v>
      </c>
      <c r="E228" s="260" t="s">
        <v>970</v>
      </c>
      <c r="F228" s="260">
        <v>5</v>
      </c>
      <c r="G228" s="269" t="s">
        <v>1094</v>
      </c>
      <c r="H228" s="261" t="s">
        <v>249</v>
      </c>
      <c r="I228" s="238"/>
      <c r="J228" s="262"/>
      <c r="K228" s="263"/>
      <c r="L228" s="264"/>
      <c r="M228" s="265"/>
      <c r="N228" s="265"/>
      <c r="O228" s="265"/>
      <c r="P228" s="265"/>
      <c r="Q228" s="265"/>
      <c r="R228" s="267" t="str">
        <f>IF(J228="","",Q228/M228)</f>
        <v/>
      </c>
      <c r="S228" s="234">
        <f>+S229</f>
        <v>0</v>
      </c>
      <c r="T228" s="234">
        <f>+T229</f>
        <v>0</v>
      </c>
      <c r="U228" s="234">
        <v>0</v>
      </c>
      <c r="V228" s="234">
        <f>+V229</f>
        <v>0</v>
      </c>
    </row>
    <row r="229" spans="1:22" ht="27.95" hidden="1" customHeight="1">
      <c r="A229" s="260"/>
      <c r="B229" s="260"/>
      <c r="C229" s="260"/>
      <c r="D229" s="260"/>
      <c r="E229" s="260"/>
      <c r="F229" s="260"/>
      <c r="G229" s="260"/>
      <c r="H229" s="268" t="s">
        <v>1169</v>
      </c>
      <c r="I229" s="238"/>
      <c r="J229" s="262">
        <v>3</v>
      </c>
      <c r="K229" s="263" t="s">
        <v>1170</v>
      </c>
      <c r="L229" s="264">
        <v>350000</v>
      </c>
      <c r="M229" s="265">
        <f>+J229*L229</f>
        <v>1050000</v>
      </c>
      <c r="N229" s="266">
        <v>2</v>
      </c>
      <c r="O229" s="261" t="s">
        <v>1170</v>
      </c>
      <c r="P229" s="266">
        <v>99600</v>
      </c>
      <c r="Q229" s="266">
        <f>+N229*P229</f>
        <v>199200</v>
      </c>
      <c r="R229" s="267">
        <f>IF(J229="","",Q229/M229)</f>
        <v>0.18971428571428572</v>
      </c>
      <c r="S229" s="266">
        <f>+IF(W229="DDS",Q229,0)</f>
        <v>0</v>
      </c>
      <c r="T229" s="266">
        <f>+IF(W229="ADD",Q229,0)</f>
        <v>0</v>
      </c>
      <c r="U229" s="266">
        <f>+IF(W229="DDS",0,IF(W229="ADD",0,Q229))</f>
        <v>199200</v>
      </c>
      <c r="V229" s="266">
        <v>0</v>
      </c>
    </row>
    <row r="230" spans="1:22" ht="27.95" hidden="1" customHeight="1">
      <c r="A230" s="229" t="s">
        <v>362</v>
      </c>
      <c r="B230" s="229" t="s">
        <v>963</v>
      </c>
      <c r="C230" s="229" t="s">
        <v>1167</v>
      </c>
      <c r="D230" s="252" t="s">
        <v>363</v>
      </c>
      <c r="E230" s="252" t="s">
        <v>970</v>
      </c>
      <c r="F230" s="252">
        <v>6</v>
      </c>
      <c r="G230" s="252" t="s">
        <v>959</v>
      </c>
      <c r="H230" s="253" t="s">
        <v>139</v>
      </c>
      <c r="I230" s="238"/>
      <c r="J230" s="254"/>
      <c r="K230" s="255"/>
      <c r="L230" s="256"/>
      <c r="M230" s="257">
        <f>M232</f>
        <v>1800000</v>
      </c>
      <c r="N230" s="257"/>
      <c r="O230" s="257"/>
      <c r="P230" s="257"/>
      <c r="Q230" s="257">
        <f>Q232</f>
        <v>460000</v>
      </c>
      <c r="R230" s="267"/>
      <c r="S230" s="257">
        <f>S232</f>
        <v>0</v>
      </c>
      <c r="T230" s="257">
        <f>T232</f>
        <v>0</v>
      </c>
      <c r="U230" s="257">
        <f>U232</f>
        <v>460000</v>
      </c>
      <c r="V230" s="257">
        <f>+SUM(V231:V233)</f>
        <v>0</v>
      </c>
    </row>
    <row r="231" spans="1:22" ht="27.95" hidden="1" customHeight="1">
      <c r="A231" s="260" t="s">
        <v>362</v>
      </c>
      <c r="B231" s="260" t="s">
        <v>963</v>
      </c>
      <c r="C231" s="229" t="s">
        <v>1167</v>
      </c>
      <c r="D231" s="260" t="s">
        <v>363</v>
      </c>
      <c r="E231" s="260" t="s">
        <v>970</v>
      </c>
      <c r="F231" s="260">
        <v>6</v>
      </c>
      <c r="G231" s="269" t="s">
        <v>963</v>
      </c>
      <c r="H231" s="261" t="s">
        <v>519</v>
      </c>
      <c r="I231" s="238"/>
      <c r="J231" s="262"/>
      <c r="K231" s="263"/>
      <c r="L231" s="264"/>
      <c r="M231" s="265"/>
      <c r="N231" s="266"/>
      <c r="O231" s="261"/>
      <c r="P231" s="266"/>
      <c r="Q231" s="266"/>
      <c r="R231" s="267" t="str">
        <f>IF(J231="","",Q231/M231)</f>
        <v/>
      </c>
      <c r="S231" s="266"/>
      <c r="T231" s="266"/>
      <c r="U231" s="266"/>
      <c r="V231" s="266"/>
    </row>
    <row r="232" spans="1:22" ht="27.95" hidden="1" customHeight="1">
      <c r="A232" s="260"/>
      <c r="B232" s="260"/>
      <c r="C232" s="260"/>
      <c r="D232" s="260"/>
      <c r="E232" s="260"/>
      <c r="F232" s="260"/>
      <c r="G232" s="260"/>
      <c r="H232" s="268" t="s">
        <v>1171</v>
      </c>
      <c r="I232" s="238"/>
      <c r="J232" s="262">
        <v>3</v>
      </c>
      <c r="K232" s="263" t="s">
        <v>1170</v>
      </c>
      <c r="L232" s="264">
        <v>600000</v>
      </c>
      <c r="M232" s="265">
        <f>+J232*L232</f>
        <v>1800000</v>
      </c>
      <c r="N232" s="266">
        <v>1</v>
      </c>
      <c r="O232" s="261" t="s">
        <v>1170</v>
      </c>
      <c r="P232" s="266">
        <v>460000</v>
      </c>
      <c r="Q232" s="266">
        <f>+N232*P232</f>
        <v>460000</v>
      </c>
      <c r="R232" s="267">
        <f>IF(J232="","",Q232/M232)</f>
        <v>0.25555555555555554</v>
      </c>
      <c r="S232" s="266">
        <f>+IF(W232="DDS",Q232,0)</f>
        <v>0</v>
      </c>
      <c r="T232" s="266">
        <f>+IF(W232="ADD",Q232,0)</f>
        <v>0</v>
      </c>
      <c r="U232" s="266">
        <f>+IF(W232="DDS",0,IF(W232="ADD",0,Q232))</f>
        <v>460000</v>
      </c>
      <c r="V232" s="266">
        <v>0</v>
      </c>
    </row>
    <row r="233" spans="1:22" ht="27.95" customHeight="1">
      <c r="A233" s="229" t="s">
        <v>362</v>
      </c>
      <c r="B233" s="229" t="s">
        <v>963</v>
      </c>
      <c r="C233" s="229" t="s">
        <v>1167</v>
      </c>
      <c r="D233" s="229" t="s">
        <v>362</v>
      </c>
      <c r="E233" s="229" t="s">
        <v>963</v>
      </c>
      <c r="F233" s="229" t="s">
        <v>1172</v>
      </c>
      <c r="G233" s="229" t="s">
        <v>959</v>
      </c>
      <c r="H233" s="238" t="s">
        <v>1173</v>
      </c>
      <c r="I233" s="238" t="s">
        <v>1174</v>
      </c>
      <c r="J233" s="239"/>
      <c r="K233" s="240">
        <v>12</v>
      </c>
      <c r="L233" s="241" t="s">
        <v>1073</v>
      </c>
      <c r="M233" s="234">
        <f>+M234</f>
        <v>11250000</v>
      </c>
      <c r="N233" s="234"/>
      <c r="O233" s="240">
        <v>12</v>
      </c>
      <c r="P233" s="241" t="s">
        <v>1073</v>
      </c>
      <c r="Q233" s="234">
        <f t="shared" ref="N233:Q234" si="47">+Q234</f>
        <v>10178000</v>
      </c>
      <c r="R233" s="236">
        <f>Q233/M233*100%</f>
        <v>0.90471111111111113</v>
      </c>
      <c r="S233" s="234">
        <f t="shared" ref="S233:U234" si="48">+S234</f>
        <v>0</v>
      </c>
      <c r="T233" s="234">
        <f t="shared" si="48"/>
        <v>0</v>
      </c>
      <c r="U233" s="234">
        <f t="shared" si="48"/>
        <v>10178000</v>
      </c>
      <c r="V233" s="266">
        <v>0</v>
      </c>
    </row>
    <row r="234" spans="1:22" ht="27.95" hidden="1" customHeight="1">
      <c r="A234" s="260" t="s">
        <v>362</v>
      </c>
      <c r="B234" s="260" t="s">
        <v>963</v>
      </c>
      <c r="C234" s="229" t="s">
        <v>1167</v>
      </c>
      <c r="D234" s="244" t="s">
        <v>363</v>
      </c>
      <c r="E234" s="244" t="s">
        <v>970</v>
      </c>
      <c r="F234" s="244" t="s">
        <v>959</v>
      </c>
      <c r="G234" s="244" t="s">
        <v>959</v>
      </c>
      <c r="H234" s="245" t="s">
        <v>133</v>
      </c>
      <c r="I234" s="238"/>
      <c r="J234" s="246"/>
      <c r="K234" s="247"/>
      <c r="L234" s="248"/>
      <c r="M234" s="249">
        <f>+M235</f>
        <v>11250000</v>
      </c>
      <c r="N234" s="249">
        <f t="shared" si="47"/>
        <v>2</v>
      </c>
      <c r="O234" s="249">
        <f t="shared" si="47"/>
        <v>0</v>
      </c>
      <c r="P234" s="249">
        <f t="shared" si="47"/>
        <v>10178000</v>
      </c>
      <c r="Q234" s="249">
        <f t="shared" si="47"/>
        <v>10178000</v>
      </c>
      <c r="R234" s="267"/>
      <c r="S234" s="249">
        <f t="shared" si="48"/>
        <v>0</v>
      </c>
      <c r="T234" s="249">
        <f t="shared" si="48"/>
        <v>0</v>
      </c>
      <c r="U234" s="249">
        <f t="shared" si="48"/>
        <v>10178000</v>
      </c>
      <c r="V234" s="266"/>
    </row>
    <row r="235" spans="1:22" ht="27.95" hidden="1" customHeight="1">
      <c r="A235" s="229" t="s">
        <v>362</v>
      </c>
      <c r="B235" s="229" t="s">
        <v>963</v>
      </c>
      <c r="C235" s="229" t="s">
        <v>1167</v>
      </c>
      <c r="D235" s="252" t="s">
        <v>363</v>
      </c>
      <c r="E235" s="252" t="s">
        <v>970</v>
      </c>
      <c r="F235" s="252" t="s">
        <v>1175</v>
      </c>
      <c r="G235" s="252" t="s">
        <v>959</v>
      </c>
      <c r="H235" s="253" t="s">
        <v>139</v>
      </c>
      <c r="I235" s="238"/>
      <c r="J235" s="254"/>
      <c r="K235" s="255"/>
      <c r="L235" s="256"/>
      <c r="M235" s="257">
        <f>+SUM(M236:M238)</f>
        <v>11250000</v>
      </c>
      <c r="N235" s="257">
        <f>+SUM(N236:N238)</f>
        <v>2</v>
      </c>
      <c r="O235" s="257">
        <f>+SUM(O236:O238)</f>
        <v>0</v>
      </c>
      <c r="P235" s="257">
        <f>+SUM(P236:P238)</f>
        <v>10178000</v>
      </c>
      <c r="Q235" s="257">
        <f>+SUM(Q236:Q238)</f>
        <v>10178000</v>
      </c>
      <c r="R235" s="267"/>
      <c r="S235" s="257">
        <f>+SUM(S236:S238)</f>
        <v>0</v>
      </c>
      <c r="T235" s="257">
        <f>+SUM(T236:T238)</f>
        <v>0</v>
      </c>
      <c r="U235" s="257">
        <f>+SUM(U236:U238)</f>
        <v>10178000</v>
      </c>
      <c r="V235" s="266"/>
    </row>
    <row r="236" spans="1:22" ht="27.95" hidden="1" customHeight="1">
      <c r="A236" s="260" t="s">
        <v>362</v>
      </c>
      <c r="B236" s="260" t="s">
        <v>963</v>
      </c>
      <c r="C236" s="229" t="s">
        <v>1167</v>
      </c>
      <c r="D236" s="260" t="s">
        <v>363</v>
      </c>
      <c r="E236" s="260" t="s">
        <v>970</v>
      </c>
      <c r="F236" s="260" t="s">
        <v>1175</v>
      </c>
      <c r="G236" s="260" t="s">
        <v>995</v>
      </c>
      <c r="H236" s="261" t="s">
        <v>521</v>
      </c>
      <c r="I236" s="238"/>
      <c r="J236" s="262"/>
      <c r="K236" s="263"/>
      <c r="L236" s="264"/>
      <c r="M236" s="265"/>
      <c r="N236" s="266"/>
      <c r="O236" s="261"/>
      <c r="P236" s="266"/>
      <c r="Q236" s="266"/>
      <c r="R236" s="267"/>
      <c r="S236" s="266"/>
      <c r="T236" s="266"/>
      <c r="U236" s="266"/>
      <c r="V236" s="266"/>
    </row>
    <row r="237" spans="1:22" ht="27.95" hidden="1" customHeight="1">
      <c r="A237" s="260"/>
      <c r="B237" s="260"/>
      <c r="C237" s="260"/>
      <c r="D237" s="260"/>
      <c r="E237" s="260"/>
      <c r="F237" s="260"/>
      <c r="G237" s="260"/>
      <c r="H237" s="268" t="s">
        <v>1176</v>
      </c>
      <c r="I237" s="238"/>
      <c r="J237" s="262">
        <v>12</v>
      </c>
      <c r="K237" s="263" t="s">
        <v>1154</v>
      </c>
      <c r="L237" s="264">
        <v>500000</v>
      </c>
      <c r="M237" s="265">
        <f>+J237*L237</f>
        <v>6000000</v>
      </c>
      <c r="N237" s="266">
        <v>1</v>
      </c>
      <c r="O237" s="261" t="s">
        <v>1029</v>
      </c>
      <c r="P237" s="266">
        <f>1325000+1450000+850000+300000+950000+600000</f>
        <v>5475000</v>
      </c>
      <c r="Q237" s="266">
        <f>+N237*P237</f>
        <v>5475000</v>
      </c>
      <c r="R237" s="267">
        <f>IF(J237="","",Q237/M237)</f>
        <v>0.91249999999999998</v>
      </c>
      <c r="S237" s="266">
        <f>+IF(W237="DDS",Q237,0)</f>
        <v>0</v>
      </c>
      <c r="T237" s="266">
        <f>+IF(W237="ADD",Q237,0)</f>
        <v>0</v>
      </c>
      <c r="U237" s="266">
        <f>+IF(W237="DDS",0,IF(W237="ADD",0,Q237))</f>
        <v>5475000</v>
      </c>
      <c r="V237" s="266">
        <v>0</v>
      </c>
    </row>
    <row r="238" spans="1:22" ht="27.95" hidden="1" customHeight="1">
      <c r="A238" s="260"/>
      <c r="B238" s="260"/>
      <c r="C238" s="260"/>
      <c r="D238" s="260"/>
      <c r="E238" s="260"/>
      <c r="F238" s="260"/>
      <c r="G238" s="260"/>
      <c r="H238" s="268" t="s">
        <v>1177</v>
      </c>
      <c r="I238" s="238"/>
      <c r="J238" s="262">
        <v>42</v>
      </c>
      <c r="K238" s="263" t="s">
        <v>1154</v>
      </c>
      <c r="L238" s="264">
        <v>125000</v>
      </c>
      <c r="M238" s="265">
        <f>+J238*L238</f>
        <v>5250000</v>
      </c>
      <c r="N238" s="266">
        <v>1</v>
      </c>
      <c r="O238" s="261" t="s">
        <v>1029</v>
      </c>
      <c r="P238" s="266">
        <f>1400000+150000+2553000+600000</f>
        <v>4703000</v>
      </c>
      <c r="Q238" s="266">
        <f>+N238*P238</f>
        <v>4703000</v>
      </c>
      <c r="R238" s="267">
        <f>IF(J238="","",Q238/M238)</f>
        <v>0.89580952380952383</v>
      </c>
      <c r="S238" s="266">
        <f>+IF(W238="DDS",Q238,0)</f>
        <v>0</v>
      </c>
      <c r="T238" s="266">
        <f>+IF(W238="ADD",Q238,0)</f>
        <v>0</v>
      </c>
      <c r="U238" s="266">
        <f>+IF(W238="DDS",0,IF(W238="ADD",0,Q238))</f>
        <v>4703000</v>
      </c>
      <c r="V238" s="266">
        <v>0</v>
      </c>
    </row>
    <row r="239" spans="1:22" ht="27.95" customHeight="1">
      <c r="A239" s="229" t="s">
        <v>362</v>
      </c>
      <c r="B239" s="229" t="s">
        <v>995</v>
      </c>
      <c r="C239" s="260"/>
      <c r="D239" s="229"/>
      <c r="E239" s="229"/>
      <c r="F239" s="229"/>
      <c r="G239" s="229" t="s">
        <v>959</v>
      </c>
      <c r="H239" s="238" t="s">
        <v>159</v>
      </c>
      <c r="I239" s="238"/>
      <c r="J239" s="231"/>
      <c r="K239" s="232"/>
      <c r="L239" s="237"/>
      <c r="M239" s="234">
        <f>+M240+M276</f>
        <v>25670000</v>
      </c>
      <c r="N239" s="234"/>
      <c r="O239" s="234">
        <f>+O240+O276</f>
        <v>4</v>
      </c>
      <c r="P239" s="234"/>
      <c r="Q239" s="234">
        <f>+Q240+Q276</f>
        <v>24980000</v>
      </c>
      <c r="R239" s="236">
        <f>Q239/M239*100%</f>
        <v>0.97312037397740558</v>
      </c>
      <c r="S239" s="234">
        <f>+S240+S276</f>
        <v>0</v>
      </c>
      <c r="T239" s="234">
        <f>+T240+T276</f>
        <v>0</v>
      </c>
      <c r="U239" s="234">
        <f>+U240+U276</f>
        <v>24980000</v>
      </c>
      <c r="V239" s="234">
        <f>+V240+V276</f>
        <v>0</v>
      </c>
    </row>
    <row r="240" spans="1:22" ht="27.95" customHeight="1">
      <c r="A240" s="229">
        <v>1</v>
      </c>
      <c r="B240" s="270" t="s">
        <v>995</v>
      </c>
      <c r="C240" s="270" t="s">
        <v>963</v>
      </c>
      <c r="D240" s="229"/>
      <c r="E240" s="270"/>
      <c r="F240" s="270"/>
      <c r="G240" s="229" t="s">
        <v>959</v>
      </c>
      <c r="H240" s="238" t="s">
        <v>1178</v>
      </c>
      <c r="I240" s="238" t="s">
        <v>1179</v>
      </c>
      <c r="J240" s="239"/>
      <c r="K240" s="240">
        <v>3</v>
      </c>
      <c r="L240" s="241" t="s">
        <v>386</v>
      </c>
      <c r="M240" s="234">
        <f>M242+M262+M270</f>
        <v>25105000</v>
      </c>
      <c r="N240" s="234"/>
      <c r="O240" s="240">
        <v>3</v>
      </c>
      <c r="P240" s="241" t="s">
        <v>386</v>
      </c>
      <c r="Q240" s="234">
        <f>Q242+Q262+Q270</f>
        <v>24415000</v>
      </c>
      <c r="R240" s="236">
        <f>Q240/M240*100%</f>
        <v>0.97251543517227645</v>
      </c>
      <c r="S240" s="234">
        <f>S242+S262+S270</f>
        <v>0</v>
      </c>
      <c r="T240" s="234">
        <f>T242+T262+T270</f>
        <v>0</v>
      </c>
      <c r="U240" s="234">
        <f>U242+U262+U270</f>
        <v>24415000</v>
      </c>
      <c r="V240" s="234">
        <f>V242+V262+V270</f>
        <v>0</v>
      </c>
    </row>
    <row r="241" spans="1:22" ht="27.95" hidden="1" customHeight="1">
      <c r="A241" s="229">
        <v>1</v>
      </c>
      <c r="B241" s="270" t="s">
        <v>995</v>
      </c>
      <c r="C241" s="270" t="s">
        <v>963</v>
      </c>
      <c r="D241" s="244">
        <v>5</v>
      </c>
      <c r="E241" s="282">
        <v>2</v>
      </c>
      <c r="F241" s="282"/>
      <c r="G241" s="244"/>
      <c r="H241" s="245" t="s">
        <v>1180</v>
      </c>
      <c r="I241" s="238"/>
      <c r="J241" s="285"/>
      <c r="K241" s="286"/>
      <c r="L241" s="287"/>
      <c r="M241" s="249">
        <f>M242+M262+M270</f>
        <v>25105000</v>
      </c>
      <c r="N241" s="249"/>
      <c r="O241" s="249">
        <f>O242+O262+O270</f>
        <v>0</v>
      </c>
      <c r="P241" s="249"/>
      <c r="Q241" s="249">
        <f>Q242+Q262+Q270</f>
        <v>24415000</v>
      </c>
      <c r="R241" s="249"/>
      <c r="S241" s="249">
        <f>S242+S262+S270</f>
        <v>0</v>
      </c>
      <c r="T241" s="249">
        <f>T242+T262+T270</f>
        <v>0</v>
      </c>
      <c r="U241" s="249">
        <f>U242+U262+U270</f>
        <v>24415000</v>
      </c>
      <c r="V241" s="249">
        <f>V242+V262+V270</f>
        <v>0</v>
      </c>
    </row>
    <row r="242" spans="1:22" ht="27.95" hidden="1" customHeight="1">
      <c r="A242" s="229">
        <v>1</v>
      </c>
      <c r="B242" s="270" t="s">
        <v>995</v>
      </c>
      <c r="C242" s="270" t="s">
        <v>963</v>
      </c>
      <c r="D242" s="252" t="s">
        <v>363</v>
      </c>
      <c r="E242" s="252" t="s">
        <v>970</v>
      </c>
      <c r="F242" s="252" t="s">
        <v>362</v>
      </c>
      <c r="G242" s="252" t="s">
        <v>959</v>
      </c>
      <c r="H242" s="253" t="s">
        <v>134</v>
      </c>
      <c r="I242" s="238"/>
      <c r="J242" s="254"/>
      <c r="K242" s="255"/>
      <c r="L242" s="256"/>
      <c r="M242" s="257">
        <f>+SUM(M243:M261)</f>
        <v>13865000</v>
      </c>
      <c r="N242" s="257"/>
      <c r="O242" s="257">
        <f>+SUM(O243:O261)</f>
        <v>0</v>
      </c>
      <c r="P242" s="257"/>
      <c r="Q242" s="257">
        <f>+SUM(Q243:Q261)</f>
        <v>13675000</v>
      </c>
      <c r="R242" s="257"/>
      <c r="S242" s="257">
        <f>+SUM(S243:S261)</f>
        <v>0</v>
      </c>
      <c r="T242" s="257">
        <f>+SUM(T243:T261)</f>
        <v>0</v>
      </c>
      <c r="U242" s="257">
        <f>+SUM(U243:U261)</f>
        <v>13675000</v>
      </c>
      <c r="V242" s="257">
        <f>+SUM(V243:V261)</f>
        <v>0</v>
      </c>
    </row>
    <row r="243" spans="1:22" ht="27.95" hidden="1" customHeight="1">
      <c r="A243" s="260">
        <v>1</v>
      </c>
      <c r="B243" s="269" t="s">
        <v>995</v>
      </c>
      <c r="C243" s="270" t="s">
        <v>963</v>
      </c>
      <c r="D243" s="260" t="s">
        <v>363</v>
      </c>
      <c r="E243" s="260" t="s">
        <v>970</v>
      </c>
      <c r="F243" s="260" t="s">
        <v>362</v>
      </c>
      <c r="G243" s="260" t="s">
        <v>960</v>
      </c>
      <c r="H243" s="261" t="s">
        <v>1027</v>
      </c>
      <c r="I243" s="238"/>
      <c r="J243" s="262"/>
      <c r="K243" s="263"/>
      <c r="L243" s="264"/>
      <c r="M243" s="265"/>
      <c r="N243" s="266">
        <v>0</v>
      </c>
      <c r="O243" s="261"/>
      <c r="P243" s="266">
        <v>0</v>
      </c>
      <c r="Q243" s="266">
        <f t="shared" ref="Q243:Q258" si="49">+N243*P243</f>
        <v>0</v>
      </c>
      <c r="R243" s="267" t="str">
        <f t="shared" ref="R243:R317" si="50">IF(J243="","",Q243/M243)</f>
        <v/>
      </c>
      <c r="S243" s="266">
        <f t="shared" ref="S243:S263" si="51">+IF(W243="DDS",Q243,0)</f>
        <v>0</v>
      </c>
      <c r="T243" s="266">
        <f t="shared" ref="T243:T263" si="52">+IF(W243="ADD",Q243,0)</f>
        <v>0</v>
      </c>
      <c r="U243" s="266">
        <f t="shared" ref="U243:U263" si="53">+IF(W243="DDS",0,IF(W243="ADD",0,Q243))</f>
        <v>0</v>
      </c>
      <c r="V243" s="266">
        <v>0</v>
      </c>
    </row>
    <row r="244" spans="1:22" ht="27.95" hidden="1" customHeight="1">
      <c r="A244" s="260"/>
      <c r="B244" s="269"/>
      <c r="C244" s="229"/>
      <c r="D244" s="260"/>
      <c r="E244" s="260"/>
      <c r="F244" s="260"/>
      <c r="G244" s="260"/>
      <c r="H244" s="268" t="s">
        <v>1181</v>
      </c>
      <c r="I244" s="238"/>
      <c r="J244" s="262">
        <v>1</v>
      </c>
      <c r="K244" s="263" t="s">
        <v>1029</v>
      </c>
      <c r="L244" s="264">
        <v>400000</v>
      </c>
      <c r="M244" s="265">
        <f>+J244*L244</f>
        <v>400000</v>
      </c>
      <c r="N244" s="262">
        <v>1</v>
      </c>
      <c r="O244" s="263" t="s">
        <v>1029</v>
      </c>
      <c r="P244" s="264">
        <v>400000</v>
      </c>
      <c r="Q244" s="265">
        <f>+N244*P244</f>
        <v>400000</v>
      </c>
      <c r="R244" s="267">
        <f t="shared" si="50"/>
        <v>1</v>
      </c>
      <c r="S244" s="266">
        <f t="shared" si="51"/>
        <v>0</v>
      </c>
      <c r="T244" s="266">
        <f t="shared" si="52"/>
        <v>0</v>
      </c>
      <c r="U244" s="266">
        <f t="shared" si="53"/>
        <v>400000</v>
      </c>
      <c r="V244" s="266">
        <v>0</v>
      </c>
    </row>
    <row r="245" spans="1:22" ht="27.95" hidden="1" customHeight="1">
      <c r="A245" s="260"/>
      <c r="B245" s="260"/>
      <c r="C245" s="260"/>
      <c r="D245" s="260"/>
      <c r="E245" s="260"/>
      <c r="F245" s="260"/>
      <c r="G245" s="260"/>
      <c r="H245" s="268" t="s">
        <v>1182</v>
      </c>
      <c r="I245" s="238"/>
      <c r="J245" s="262">
        <v>1</v>
      </c>
      <c r="K245" s="263" t="s">
        <v>1029</v>
      </c>
      <c r="L245" s="264">
        <v>200000</v>
      </c>
      <c r="M245" s="265">
        <f>+J245*L245</f>
        <v>200000</v>
      </c>
      <c r="N245" s="262">
        <v>1</v>
      </c>
      <c r="O245" s="263" t="s">
        <v>1029</v>
      </c>
      <c r="P245" s="264">
        <v>200000</v>
      </c>
      <c r="Q245" s="266">
        <f t="shared" si="49"/>
        <v>200000</v>
      </c>
      <c r="R245" s="267">
        <f t="shared" si="50"/>
        <v>1</v>
      </c>
      <c r="S245" s="266">
        <f t="shared" si="51"/>
        <v>0</v>
      </c>
      <c r="T245" s="266">
        <f t="shared" si="52"/>
        <v>0</v>
      </c>
      <c r="U245" s="266">
        <f t="shared" si="53"/>
        <v>200000</v>
      </c>
      <c r="V245" s="266">
        <v>0</v>
      </c>
    </row>
    <row r="246" spans="1:22" ht="27.95" hidden="1" customHeight="1">
      <c r="A246" s="260"/>
      <c r="B246" s="260"/>
      <c r="C246" s="260"/>
      <c r="D246" s="260"/>
      <c r="E246" s="260"/>
      <c r="F246" s="260"/>
      <c r="G246" s="260"/>
      <c r="H246" s="268" t="s">
        <v>1183</v>
      </c>
      <c r="I246" s="238"/>
      <c r="J246" s="262">
        <v>1</v>
      </c>
      <c r="K246" s="263" t="s">
        <v>1029</v>
      </c>
      <c r="L246" s="264">
        <v>135000</v>
      </c>
      <c r="M246" s="265">
        <f>+J246*L246</f>
        <v>135000</v>
      </c>
      <c r="N246" s="262">
        <v>1</v>
      </c>
      <c r="O246" s="263" t="s">
        <v>1029</v>
      </c>
      <c r="P246" s="264">
        <v>135000</v>
      </c>
      <c r="Q246" s="266">
        <f>+N246*P246</f>
        <v>135000</v>
      </c>
      <c r="R246" s="267">
        <f>IF(J246="","",Q246/M246)</f>
        <v>1</v>
      </c>
      <c r="S246" s="266">
        <f>+IF(W246="DDS",Q246,0)</f>
        <v>0</v>
      </c>
      <c r="T246" s="266">
        <f>+IF(W246="ADD",Q246,0)</f>
        <v>0</v>
      </c>
      <c r="U246" s="266">
        <f>+IF(W246="DDS",0,IF(W246="ADD",0,Q246))</f>
        <v>135000</v>
      </c>
      <c r="V246" s="266">
        <v>0</v>
      </c>
    </row>
    <row r="247" spans="1:22" ht="27.95" hidden="1" customHeight="1">
      <c r="A247" s="260">
        <v>1</v>
      </c>
      <c r="B247" s="269" t="s">
        <v>995</v>
      </c>
      <c r="C247" s="270" t="s">
        <v>963</v>
      </c>
      <c r="D247" s="260" t="s">
        <v>363</v>
      </c>
      <c r="E247" s="260" t="s">
        <v>970</v>
      </c>
      <c r="F247" s="260" t="s">
        <v>362</v>
      </c>
      <c r="G247" s="260" t="s">
        <v>1038</v>
      </c>
      <c r="H247" s="261" t="s">
        <v>251</v>
      </c>
      <c r="I247" s="238"/>
      <c r="J247" s="262"/>
      <c r="K247" s="263"/>
      <c r="L247" s="264"/>
      <c r="M247" s="265"/>
      <c r="N247" s="266">
        <v>0</v>
      </c>
      <c r="O247" s="261"/>
      <c r="P247" s="266">
        <v>0</v>
      </c>
      <c r="Q247" s="266">
        <f t="shared" si="49"/>
        <v>0</v>
      </c>
      <c r="R247" s="267" t="str">
        <f t="shared" si="50"/>
        <v/>
      </c>
      <c r="S247" s="266">
        <f t="shared" si="51"/>
        <v>0</v>
      </c>
      <c r="T247" s="266">
        <f t="shared" si="52"/>
        <v>0</v>
      </c>
      <c r="U247" s="266">
        <f t="shared" si="53"/>
        <v>0</v>
      </c>
      <c r="V247" s="266">
        <v>0</v>
      </c>
    </row>
    <row r="248" spans="1:22" ht="27.95" hidden="1" customHeight="1">
      <c r="A248" s="260"/>
      <c r="B248" s="269"/>
      <c r="C248" s="229"/>
      <c r="D248" s="260"/>
      <c r="E248" s="260"/>
      <c r="F248" s="260"/>
      <c r="G248" s="260"/>
      <c r="H248" s="268" t="s">
        <v>1184</v>
      </c>
      <c r="I248" s="238"/>
      <c r="J248" s="262">
        <v>1700</v>
      </c>
      <c r="K248" s="263" t="s">
        <v>1185</v>
      </c>
      <c r="L248" s="264">
        <v>3200</v>
      </c>
      <c r="M248" s="265">
        <f t="shared" ref="M248:M253" si="54">+J248*L248</f>
        <v>5440000</v>
      </c>
      <c r="N248" s="262">
        <v>1700</v>
      </c>
      <c r="O248" s="263" t="s">
        <v>1185</v>
      </c>
      <c r="P248" s="264">
        <v>3200</v>
      </c>
      <c r="Q248" s="265">
        <f t="shared" si="49"/>
        <v>5440000</v>
      </c>
      <c r="R248" s="267">
        <f t="shared" si="50"/>
        <v>1</v>
      </c>
      <c r="S248" s="266">
        <f t="shared" si="51"/>
        <v>0</v>
      </c>
      <c r="T248" s="266">
        <f t="shared" si="52"/>
        <v>0</v>
      </c>
      <c r="U248" s="266">
        <f t="shared" si="53"/>
        <v>5440000</v>
      </c>
      <c r="V248" s="266">
        <v>0</v>
      </c>
    </row>
    <row r="249" spans="1:22" ht="27.95" hidden="1" customHeight="1">
      <c r="A249" s="244"/>
      <c r="B249" s="244"/>
      <c r="C249" s="244"/>
      <c r="D249" s="260"/>
      <c r="E249" s="260"/>
      <c r="F249" s="260"/>
      <c r="G249" s="260"/>
      <c r="H249" s="268" t="s">
        <v>1186</v>
      </c>
      <c r="I249" s="238"/>
      <c r="J249" s="262">
        <v>1</v>
      </c>
      <c r="K249" s="263" t="s">
        <v>1029</v>
      </c>
      <c r="L249" s="264">
        <v>250000</v>
      </c>
      <c r="M249" s="265">
        <f t="shared" si="54"/>
        <v>250000</v>
      </c>
      <c r="N249" s="262">
        <v>1</v>
      </c>
      <c r="O249" s="263" t="s">
        <v>1029</v>
      </c>
      <c r="P249" s="264">
        <v>250000</v>
      </c>
      <c r="Q249" s="265">
        <f t="shared" si="49"/>
        <v>250000</v>
      </c>
      <c r="R249" s="267">
        <f t="shared" si="50"/>
        <v>1</v>
      </c>
      <c r="S249" s="266">
        <f t="shared" si="51"/>
        <v>0</v>
      </c>
      <c r="T249" s="266">
        <f t="shared" si="52"/>
        <v>0</v>
      </c>
      <c r="U249" s="266">
        <f t="shared" si="53"/>
        <v>250000</v>
      </c>
      <c r="V249" s="266">
        <v>0</v>
      </c>
    </row>
    <row r="250" spans="1:22" ht="27.95" hidden="1" customHeight="1">
      <c r="A250" s="260"/>
      <c r="B250" s="260"/>
      <c r="C250" s="260"/>
      <c r="D250" s="260"/>
      <c r="E250" s="260"/>
      <c r="F250" s="260"/>
      <c r="G250" s="260"/>
      <c r="H250" s="268" t="s">
        <v>1187</v>
      </c>
      <c r="I250" s="238"/>
      <c r="J250" s="262">
        <v>1</v>
      </c>
      <c r="K250" s="263" t="s">
        <v>1029</v>
      </c>
      <c r="L250" s="264">
        <v>280000</v>
      </c>
      <c r="M250" s="265">
        <f t="shared" si="54"/>
        <v>280000</v>
      </c>
      <c r="N250" s="262">
        <v>1</v>
      </c>
      <c r="O250" s="263" t="s">
        <v>1029</v>
      </c>
      <c r="P250" s="264">
        <v>280000</v>
      </c>
      <c r="Q250" s="266">
        <f t="shared" si="49"/>
        <v>280000</v>
      </c>
      <c r="R250" s="267">
        <f t="shared" si="50"/>
        <v>1</v>
      </c>
      <c r="S250" s="266">
        <f t="shared" si="51"/>
        <v>0</v>
      </c>
      <c r="T250" s="266">
        <f t="shared" si="52"/>
        <v>0</v>
      </c>
      <c r="U250" s="266">
        <f t="shared" si="53"/>
        <v>280000</v>
      </c>
      <c r="V250" s="266">
        <v>0</v>
      </c>
    </row>
    <row r="251" spans="1:22" ht="27.95" hidden="1" customHeight="1">
      <c r="A251" s="260"/>
      <c r="B251" s="260"/>
      <c r="C251" s="260"/>
      <c r="D251" s="260"/>
      <c r="E251" s="260"/>
      <c r="F251" s="260"/>
      <c r="G251" s="260"/>
      <c r="H251" s="268" t="s">
        <v>1188</v>
      </c>
      <c r="I251" s="238"/>
      <c r="J251" s="262">
        <v>1</v>
      </c>
      <c r="K251" s="263" t="s">
        <v>1029</v>
      </c>
      <c r="L251" s="264">
        <v>80000</v>
      </c>
      <c r="M251" s="265">
        <f t="shared" si="54"/>
        <v>80000</v>
      </c>
      <c r="N251" s="266">
        <v>0</v>
      </c>
      <c r="O251" s="261"/>
      <c r="P251" s="266">
        <v>0</v>
      </c>
      <c r="Q251" s="266">
        <f>+N251*P251</f>
        <v>0</v>
      </c>
      <c r="R251" s="267">
        <f>IF(J251="","",Q251/M251)</f>
        <v>0</v>
      </c>
      <c r="S251" s="266">
        <f>+IF(W251="DDS",Q251,0)</f>
        <v>0</v>
      </c>
      <c r="T251" s="266">
        <f>+IF(W251="ADD",Q251,0)</f>
        <v>0</v>
      </c>
      <c r="U251" s="266">
        <f>+IF(W251="DDS",0,IF(W251="ADD",0,Q251))</f>
        <v>0</v>
      </c>
      <c r="V251" s="266">
        <v>0</v>
      </c>
    </row>
    <row r="252" spans="1:22" ht="27.95" hidden="1" customHeight="1">
      <c r="A252" s="260"/>
      <c r="B252" s="260"/>
      <c r="C252" s="260"/>
      <c r="D252" s="260"/>
      <c r="E252" s="260"/>
      <c r="F252" s="260"/>
      <c r="G252" s="260"/>
      <c r="H252" s="268" t="s">
        <v>1189</v>
      </c>
      <c r="I252" s="238"/>
      <c r="J252" s="262">
        <v>1</v>
      </c>
      <c r="K252" s="263" t="s">
        <v>1029</v>
      </c>
      <c r="L252" s="264">
        <v>160000</v>
      </c>
      <c r="M252" s="265">
        <f t="shared" si="54"/>
        <v>160000</v>
      </c>
      <c r="N252" s="262">
        <v>1</v>
      </c>
      <c r="O252" s="263" t="s">
        <v>1029</v>
      </c>
      <c r="P252" s="266">
        <v>50000</v>
      </c>
      <c r="Q252" s="266">
        <f>+N252*P252</f>
        <v>50000</v>
      </c>
      <c r="R252" s="267">
        <f>IF(J252="","",Q252/M252)</f>
        <v>0.3125</v>
      </c>
      <c r="S252" s="266">
        <f>+IF(W252="DDS",Q252,0)</f>
        <v>0</v>
      </c>
      <c r="T252" s="266">
        <f>+IF(W252="ADD",Q252,0)</f>
        <v>0</v>
      </c>
      <c r="U252" s="266">
        <f>+IF(W252="DDS",0,IF(W252="ADD",0,Q252))</f>
        <v>50000</v>
      </c>
      <c r="V252" s="266">
        <v>0</v>
      </c>
    </row>
    <row r="253" spans="1:22" ht="27.95" hidden="1" customHeight="1">
      <c r="A253" s="260"/>
      <c r="B253" s="260"/>
      <c r="C253" s="260"/>
      <c r="D253" s="260"/>
      <c r="E253" s="260"/>
      <c r="F253" s="260"/>
      <c r="G253" s="260"/>
      <c r="H253" s="268" t="s">
        <v>1190</v>
      </c>
      <c r="I253" s="238"/>
      <c r="J253" s="262">
        <v>3</v>
      </c>
      <c r="K253" s="263" t="s">
        <v>1191</v>
      </c>
      <c r="L253" s="264">
        <v>25000</v>
      </c>
      <c r="M253" s="265">
        <f t="shared" si="54"/>
        <v>75000</v>
      </c>
      <c r="N253" s="262">
        <v>3</v>
      </c>
      <c r="O253" s="263" t="s">
        <v>1191</v>
      </c>
      <c r="P253" s="264">
        <v>25000</v>
      </c>
      <c r="Q253" s="266">
        <f>+N253*P253</f>
        <v>75000</v>
      </c>
      <c r="R253" s="267">
        <f>IF(J253="","",Q253/M253)</f>
        <v>1</v>
      </c>
      <c r="S253" s="266">
        <f>+IF(W253="DDS",Q253,0)</f>
        <v>0</v>
      </c>
      <c r="T253" s="266">
        <f>+IF(W253="ADD",Q253,0)</f>
        <v>0</v>
      </c>
      <c r="U253" s="266">
        <f>+IF(W253="DDS",0,IF(W253="ADD",0,Q253))</f>
        <v>75000</v>
      </c>
      <c r="V253" s="266">
        <v>0</v>
      </c>
    </row>
    <row r="254" spans="1:22" ht="27.95" hidden="1" customHeight="1">
      <c r="A254" s="260">
        <v>1</v>
      </c>
      <c r="B254" s="269" t="s">
        <v>995</v>
      </c>
      <c r="C254" s="270" t="s">
        <v>963</v>
      </c>
      <c r="D254" s="260" t="s">
        <v>363</v>
      </c>
      <c r="E254" s="260" t="s">
        <v>970</v>
      </c>
      <c r="F254" s="260" t="s">
        <v>362</v>
      </c>
      <c r="G254" s="260" t="s">
        <v>1040</v>
      </c>
      <c r="H254" s="261" t="s">
        <v>252</v>
      </c>
      <c r="I254" s="238"/>
      <c r="J254" s="262"/>
      <c r="K254" s="263"/>
      <c r="L254" s="264"/>
      <c r="M254" s="265"/>
      <c r="N254" s="266">
        <v>0</v>
      </c>
      <c r="O254" s="261"/>
      <c r="P254" s="266">
        <v>0</v>
      </c>
      <c r="Q254" s="266">
        <f t="shared" si="49"/>
        <v>0</v>
      </c>
      <c r="R254" s="267" t="str">
        <f t="shared" si="50"/>
        <v/>
      </c>
      <c r="S254" s="266">
        <f t="shared" si="51"/>
        <v>0</v>
      </c>
      <c r="T254" s="266">
        <f t="shared" si="52"/>
        <v>0</v>
      </c>
      <c r="U254" s="266">
        <f t="shared" si="53"/>
        <v>0</v>
      </c>
      <c r="V254" s="266">
        <v>0</v>
      </c>
    </row>
    <row r="255" spans="1:22" ht="27.95" hidden="1" customHeight="1">
      <c r="A255" s="260"/>
      <c r="B255" s="269"/>
      <c r="C255" s="229"/>
      <c r="D255" s="260"/>
      <c r="E255" s="260"/>
      <c r="F255" s="260"/>
      <c r="G255" s="260"/>
      <c r="H255" s="268" t="s">
        <v>1192</v>
      </c>
      <c r="I255" s="238"/>
      <c r="J255" s="262">
        <v>75</v>
      </c>
      <c r="K255" s="263" t="s">
        <v>1042</v>
      </c>
      <c r="L255" s="264">
        <v>35000</v>
      </c>
      <c r="M255" s="265">
        <f t="shared" ref="M255:M261" si="55">+J255*L255</f>
        <v>2625000</v>
      </c>
      <c r="N255" s="262">
        <v>75</v>
      </c>
      <c r="O255" s="263" t="s">
        <v>1042</v>
      </c>
      <c r="P255" s="264">
        <v>35000</v>
      </c>
      <c r="Q255" s="265">
        <f t="shared" si="49"/>
        <v>2625000</v>
      </c>
      <c r="R255" s="267">
        <f t="shared" si="50"/>
        <v>1</v>
      </c>
      <c r="S255" s="266">
        <f t="shared" si="51"/>
        <v>0</v>
      </c>
      <c r="T255" s="266">
        <f t="shared" si="52"/>
        <v>0</v>
      </c>
      <c r="U255" s="266">
        <f t="shared" si="53"/>
        <v>2625000</v>
      </c>
      <c r="V255" s="266">
        <v>0</v>
      </c>
    </row>
    <row r="256" spans="1:22" ht="27.95" hidden="1" customHeight="1">
      <c r="A256" s="260"/>
      <c r="B256" s="269"/>
      <c r="C256" s="229"/>
      <c r="D256" s="260"/>
      <c r="E256" s="260"/>
      <c r="F256" s="260"/>
      <c r="G256" s="260"/>
      <c r="H256" s="268" t="s">
        <v>1193</v>
      </c>
      <c r="I256" s="238"/>
      <c r="J256" s="262">
        <v>0</v>
      </c>
      <c r="K256" s="263" t="s">
        <v>1042</v>
      </c>
      <c r="L256" s="264">
        <v>10000</v>
      </c>
      <c r="M256" s="265">
        <f t="shared" si="55"/>
        <v>0</v>
      </c>
      <c r="N256" s="266">
        <v>0</v>
      </c>
      <c r="O256" s="261"/>
      <c r="P256" s="266">
        <v>0</v>
      </c>
      <c r="Q256" s="266">
        <f t="shared" si="49"/>
        <v>0</v>
      </c>
      <c r="R256" s="267" t="e">
        <f t="shared" si="50"/>
        <v>#DIV/0!</v>
      </c>
      <c r="S256" s="266">
        <f t="shared" si="51"/>
        <v>0</v>
      </c>
      <c r="T256" s="266">
        <f t="shared" si="52"/>
        <v>0</v>
      </c>
      <c r="U256" s="266">
        <f t="shared" si="53"/>
        <v>0</v>
      </c>
      <c r="V256" s="266">
        <v>0</v>
      </c>
    </row>
    <row r="257" spans="1:22" ht="27.95" hidden="1" customHeight="1">
      <c r="A257" s="260"/>
      <c r="B257" s="269"/>
      <c r="C257" s="229"/>
      <c r="D257" s="260"/>
      <c r="E257" s="260"/>
      <c r="F257" s="260"/>
      <c r="G257" s="260"/>
      <c r="H257" s="268" t="s">
        <v>1194</v>
      </c>
      <c r="I257" s="238"/>
      <c r="J257" s="262">
        <v>68</v>
      </c>
      <c r="K257" s="263" t="s">
        <v>1042</v>
      </c>
      <c r="L257" s="264">
        <v>35000</v>
      </c>
      <c r="M257" s="265">
        <f t="shared" si="55"/>
        <v>2380000</v>
      </c>
      <c r="N257" s="266">
        <f>34+34</f>
        <v>68</v>
      </c>
      <c r="O257" s="261" t="s">
        <v>1042</v>
      </c>
      <c r="P257" s="266">
        <v>35000</v>
      </c>
      <c r="Q257" s="266">
        <f t="shared" si="49"/>
        <v>2380000</v>
      </c>
      <c r="R257" s="267">
        <f t="shared" si="50"/>
        <v>1</v>
      </c>
      <c r="S257" s="266">
        <f t="shared" si="51"/>
        <v>0</v>
      </c>
      <c r="T257" s="266">
        <f t="shared" si="52"/>
        <v>0</v>
      </c>
      <c r="U257" s="266">
        <f t="shared" si="53"/>
        <v>2380000</v>
      </c>
      <c r="V257" s="266">
        <v>0</v>
      </c>
    </row>
    <row r="258" spans="1:22" ht="27.95" hidden="1" customHeight="1">
      <c r="A258" s="260"/>
      <c r="B258" s="260"/>
      <c r="C258" s="260"/>
      <c r="D258" s="260"/>
      <c r="E258" s="260"/>
      <c r="F258" s="260"/>
      <c r="G258" s="260"/>
      <c r="H258" s="268" t="s">
        <v>1195</v>
      </c>
      <c r="I258" s="238"/>
      <c r="J258" s="262">
        <v>34</v>
      </c>
      <c r="K258" s="263" t="s">
        <v>1042</v>
      </c>
      <c r="L258" s="264">
        <v>10000</v>
      </c>
      <c r="M258" s="265">
        <f t="shared" si="55"/>
        <v>340000</v>
      </c>
      <c r="N258" s="262">
        <v>34</v>
      </c>
      <c r="O258" s="263" t="s">
        <v>1042</v>
      </c>
      <c r="P258" s="264">
        <v>10000</v>
      </c>
      <c r="Q258" s="266">
        <f t="shared" si="49"/>
        <v>340000</v>
      </c>
      <c r="R258" s="267">
        <f t="shared" si="50"/>
        <v>1</v>
      </c>
      <c r="S258" s="266">
        <f t="shared" si="51"/>
        <v>0</v>
      </c>
      <c r="T258" s="266">
        <f t="shared" si="52"/>
        <v>0</v>
      </c>
      <c r="U258" s="266">
        <f t="shared" si="53"/>
        <v>340000</v>
      </c>
      <c r="V258" s="266">
        <v>0</v>
      </c>
    </row>
    <row r="259" spans="1:22" ht="27.95" hidden="1" customHeight="1">
      <c r="A259" s="260"/>
      <c r="B259" s="260"/>
      <c r="C259" s="260"/>
      <c r="D259" s="260"/>
      <c r="E259" s="260"/>
      <c r="F259" s="260"/>
      <c r="G259" s="260"/>
      <c r="H259" s="268" t="s">
        <v>1196</v>
      </c>
      <c r="I259" s="238"/>
      <c r="J259" s="262">
        <v>40</v>
      </c>
      <c r="K259" s="263" t="s">
        <v>1096</v>
      </c>
      <c r="L259" s="264">
        <v>10000</v>
      </c>
      <c r="M259" s="265">
        <f t="shared" si="55"/>
        <v>400000</v>
      </c>
      <c r="N259" s="262">
        <v>40</v>
      </c>
      <c r="O259" s="263" t="s">
        <v>1096</v>
      </c>
      <c r="P259" s="264">
        <v>10000</v>
      </c>
      <c r="Q259" s="266">
        <f>+N259*P259</f>
        <v>400000</v>
      </c>
      <c r="R259" s="267">
        <f>IF(J259="","",Q259/M259)</f>
        <v>1</v>
      </c>
      <c r="S259" s="266">
        <f>+IF(W259="DDS",Q259,0)</f>
        <v>0</v>
      </c>
      <c r="T259" s="266">
        <f>+IF(W259="ADD",Q259,0)</f>
        <v>0</v>
      </c>
      <c r="U259" s="266">
        <f>+IF(W259="DDS",0,IF(W259="ADD",0,Q259))</f>
        <v>400000</v>
      </c>
      <c r="V259" s="266">
        <v>0</v>
      </c>
    </row>
    <row r="260" spans="1:22" ht="27.95" hidden="1" customHeight="1">
      <c r="A260" s="260"/>
      <c r="B260" s="260"/>
      <c r="C260" s="260"/>
      <c r="D260" s="260"/>
      <c r="E260" s="260"/>
      <c r="F260" s="260"/>
      <c r="G260" s="260"/>
      <c r="H260" s="268" t="s">
        <v>1197</v>
      </c>
      <c r="I260" s="238"/>
      <c r="J260" s="262">
        <v>20</v>
      </c>
      <c r="K260" s="263" t="s">
        <v>1096</v>
      </c>
      <c r="L260" s="264">
        <v>35000</v>
      </c>
      <c r="M260" s="265">
        <f t="shared" si="55"/>
        <v>700000</v>
      </c>
      <c r="N260" s="262">
        <v>20</v>
      </c>
      <c r="O260" s="263" t="s">
        <v>1096</v>
      </c>
      <c r="P260" s="264">
        <v>35000</v>
      </c>
      <c r="Q260" s="266">
        <f>+N260*P260</f>
        <v>700000</v>
      </c>
      <c r="R260" s="267">
        <f>IF(J260="","",Q260/M260)</f>
        <v>1</v>
      </c>
      <c r="S260" s="266">
        <f>+IF(W260="DDS",Q260,0)</f>
        <v>0</v>
      </c>
      <c r="T260" s="266">
        <f>+IF(W260="ADD",Q260,0)</f>
        <v>0</v>
      </c>
      <c r="U260" s="266">
        <f>+IF(W260="DDS",0,IF(W260="ADD",0,Q260))</f>
        <v>700000</v>
      </c>
      <c r="V260" s="266">
        <v>0</v>
      </c>
    </row>
    <row r="261" spans="1:22" ht="27.95" hidden="1" customHeight="1">
      <c r="A261" s="260"/>
      <c r="B261" s="260"/>
      <c r="C261" s="260"/>
      <c r="D261" s="260"/>
      <c r="E261" s="260"/>
      <c r="F261" s="260"/>
      <c r="G261" s="260"/>
      <c r="H261" s="268" t="s">
        <v>1198</v>
      </c>
      <c r="I261" s="238"/>
      <c r="J261" s="262">
        <v>40</v>
      </c>
      <c r="K261" s="263" t="s">
        <v>1096</v>
      </c>
      <c r="L261" s="264">
        <v>10000</v>
      </c>
      <c r="M261" s="265">
        <f t="shared" si="55"/>
        <v>400000</v>
      </c>
      <c r="N261" s="262">
        <v>40</v>
      </c>
      <c r="O261" s="263" t="s">
        <v>1096</v>
      </c>
      <c r="P261" s="264">
        <v>10000</v>
      </c>
      <c r="Q261" s="266">
        <f>+N261*P261</f>
        <v>400000</v>
      </c>
      <c r="R261" s="267">
        <f>IF(J261="","",Q261/M261)</f>
        <v>1</v>
      </c>
      <c r="S261" s="266">
        <f>+IF(W261="DDS",Q261,0)</f>
        <v>0</v>
      </c>
      <c r="T261" s="266">
        <f>+IF(W261="ADD",Q261,0)</f>
        <v>0</v>
      </c>
      <c r="U261" s="266">
        <f>+IF(W261="DDS",0,IF(W261="ADD",0,Q261))</f>
        <v>400000</v>
      </c>
      <c r="V261" s="266">
        <v>0</v>
      </c>
    </row>
    <row r="262" spans="1:22" ht="27.95" hidden="1" customHeight="1">
      <c r="A262" s="260">
        <v>1</v>
      </c>
      <c r="B262" s="269" t="s">
        <v>995</v>
      </c>
      <c r="C262" s="270" t="s">
        <v>963</v>
      </c>
      <c r="D262" s="252" t="s">
        <v>363</v>
      </c>
      <c r="E262" s="252" t="s">
        <v>970</v>
      </c>
      <c r="F262" s="252" t="s">
        <v>970</v>
      </c>
      <c r="G262" s="252" t="s">
        <v>959</v>
      </c>
      <c r="H262" s="288" t="s">
        <v>135</v>
      </c>
      <c r="I262" s="238"/>
      <c r="J262" s="254"/>
      <c r="K262" s="255"/>
      <c r="L262" s="256"/>
      <c r="M262" s="257">
        <f>SUM(M263:M269)</f>
        <v>8150000</v>
      </c>
      <c r="N262" s="266">
        <v>0</v>
      </c>
      <c r="O262" s="261"/>
      <c r="P262" s="266">
        <v>0</v>
      </c>
      <c r="Q262" s="257">
        <f>SUM(Q263:Q269)</f>
        <v>8150000</v>
      </c>
      <c r="R262" s="267" t="str">
        <f t="shared" si="50"/>
        <v/>
      </c>
      <c r="S262" s="266">
        <f t="shared" si="51"/>
        <v>0</v>
      </c>
      <c r="T262" s="266">
        <f t="shared" si="52"/>
        <v>0</v>
      </c>
      <c r="U262" s="242">
        <f t="shared" si="53"/>
        <v>8150000</v>
      </c>
      <c r="V262" s="266">
        <v>0</v>
      </c>
    </row>
    <row r="263" spans="1:22" ht="27.95" hidden="1" customHeight="1">
      <c r="A263" s="260">
        <v>1</v>
      </c>
      <c r="B263" s="269" t="s">
        <v>995</v>
      </c>
      <c r="C263" s="270" t="s">
        <v>963</v>
      </c>
      <c r="D263" s="260" t="s">
        <v>363</v>
      </c>
      <c r="E263" s="260" t="s">
        <v>970</v>
      </c>
      <c r="F263" s="260" t="s">
        <v>970</v>
      </c>
      <c r="G263" s="269" t="s">
        <v>1002</v>
      </c>
      <c r="H263" s="261" t="s">
        <v>1117</v>
      </c>
      <c r="I263" s="238"/>
      <c r="J263" s="262">
        <v>2</v>
      </c>
      <c r="K263" s="263" t="s">
        <v>1199</v>
      </c>
      <c r="L263" s="264">
        <v>100000</v>
      </c>
      <c r="M263" s="265">
        <f>+J263*L263</f>
        <v>200000</v>
      </c>
      <c r="N263" s="262">
        <v>2</v>
      </c>
      <c r="O263" s="263" t="s">
        <v>1199</v>
      </c>
      <c r="P263" s="264">
        <v>100000</v>
      </c>
      <c r="Q263" s="265">
        <f>+N263*P263</f>
        <v>200000</v>
      </c>
      <c r="R263" s="267">
        <f t="shared" si="50"/>
        <v>1</v>
      </c>
      <c r="S263" s="266">
        <f t="shared" si="51"/>
        <v>0</v>
      </c>
      <c r="T263" s="266">
        <f t="shared" si="52"/>
        <v>0</v>
      </c>
      <c r="U263" s="266">
        <f t="shared" si="53"/>
        <v>200000</v>
      </c>
      <c r="V263" s="266">
        <v>0</v>
      </c>
    </row>
    <row r="264" spans="1:22" ht="27.95" hidden="1" customHeight="1">
      <c r="A264" s="260">
        <v>1</v>
      </c>
      <c r="B264" s="269" t="s">
        <v>995</v>
      </c>
      <c r="C264" s="270" t="s">
        <v>963</v>
      </c>
      <c r="D264" s="260" t="s">
        <v>363</v>
      </c>
      <c r="E264" s="260" t="s">
        <v>970</v>
      </c>
      <c r="F264" s="260" t="s">
        <v>970</v>
      </c>
      <c r="G264" s="260">
        <v>99</v>
      </c>
      <c r="H264" s="261" t="s">
        <v>533</v>
      </c>
      <c r="I264" s="238"/>
      <c r="J264" s="262"/>
      <c r="K264" s="263"/>
      <c r="L264" s="264"/>
      <c r="M264" s="265"/>
      <c r="N264" s="266"/>
      <c r="O264" s="261"/>
      <c r="P264" s="266"/>
      <c r="Q264" s="266"/>
      <c r="R264" s="267" t="str">
        <f t="shared" si="50"/>
        <v/>
      </c>
      <c r="S264" s="266"/>
      <c r="T264" s="266"/>
      <c r="U264" s="266"/>
      <c r="V264" s="266"/>
    </row>
    <row r="265" spans="1:22" ht="27.95" hidden="1" customHeight="1">
      <c r="A265" s="260"/>
      <c r="B265" s="269"/>
      <c r="C265" s="229"/>
      <c r="D265" s="260"/>
      <c r="E265" s="260"/>
      <c r="F265" s="260"/>
      <c r="G265" s="260"/>
      <c r="H265" s="268" t="s">
        <v>1200</v>
      </c>
      <c r="I265" s="238"/>
      <c r="J265" s="262">
        <v>1700</v>
      </c>
      <c r="K265" s="263" t="s">
        <v>1201</v>
      </c>
      <c r="L265" s="264">
        <v>4000</v>
      </c>
      <c r="M265" s="265">
        <f>+J265*L265</f>
        <v>6800000</v>
      </c>
      <c r="N265" s="262">
        <v>1700</v>
      </c>
      <c r="O265" s="263" t="s">
        <v>1201</v>
      </c>
      <c r="P265" s="264">
        <v>4000</v>
      </c>
      <c r="Q265" s="266">
        <f>+N265*P265</f>
        <v>6800000</v>
      </c>
      <c r="R265" s="267">
        <f t="shared" si="50"/>
        <v>1</v>
      </c>
      <c r="S265" s="266">
        <f>+IF(W265="DDS",Q265,0)</f>
        <v>0</v>
      </c>
      <c r="T265" s="266">
        <f>+IF(W265="ADD",Q265,0)</f>
        <v>0</v>
      </c>
      <c r="U265" s="266">
        <f>+IF(W265="DDS",0,IF(W265="ADD",0,Q265))</f>
        <v>6800000</v>
      </c>
      <c r="V265" s="266">
        <v>0</v>
      </c>
    </row>
    <row r="266" spans="1:22" ht="27.95" hidden="1" customHeight="1">
      <c r="A266" s="260"/>
      <c r="B266" s="269"/>
      <c r="C266" s="229"/>
      <c r="D266" s="260"/>
      <c r="E266" s="260"/>
      <c r="F266" s="260"/>
      <c r="G266" s="260"/>
      <c r="H266" s="268" t="s">
        <v>1202</v>
      </c>
      <c r="I266" s="238"/>
      <c r="J266" s="262">
        <v>2</v>
      </c>
      <c r="K266" s="263" t="s">
        <v>966</v>
      </c>
      <c r="L266" s="264">
        <v>200000</v>
      </c>
      <c r="M266" s="265">
        <f>+J266*L266</f>
        <v>400000</v>
      </c>
      <c r="N266" s="262">
        <v>2</v>
      </c>
      <c r="O266" s="263" t="s">
        <v>966</v>
      </c>
      <c r="P266" s="264">
        <v>200000</v>
      </c>
      <c r="Q266" s="266">
        <f>+N266*P266</f>
        <v>400000</v>
      </c>
      <c r="R266" s="267">
        <f t="shared" si="50"/>
        <v>1</v>
      </c>
      <c r="S266" s="266">
        <f>+IF(W266="DDS",Q266,0)</f>
        <v>0</v>
      </c>
      <c r="T266" s="266">
        <f>+IF(W266="ADD",Q266,0)</f>
        <v>0</v>
      </c>
      <c r="U266" s="266">
        <f>+IF(W266="DDS",0,IF(W266="ADD",0,Q266))</f>
        <v>400000</v>
      </c>
      <c r="V266" s="266">
        <v>0</v>
      </c>
    </row>
    <row r="267" spans="1:22" ht="27.95" hidden="1" customHeight="1">
      <c r="A267" s="260">
        <v>1</v>
      </c>
      <c r="B267" s="269" t="s">
        <v>995</v>
      </c>
      <c r="C267" s="270" t="s">
        <v>963</v>
      </c>
      <c r="D267" s="260" t="s">
        <v>363</v>
      </c>
      <c r="E267" s="260" t="s">
        <v>970</v>
      </c>
      <c r="F267" s="260" t="s">
        <v>970</v>
      </c>
      <c r="G267" s="260" t="s">
        <v>1038</v>
      </c>
      <c r="H267" s="261" t="s">
        <v>1203</v>
      </c>
      <c r="I267" s="238"/>
      <c r="J267" s="262"/>
      <c r="K267" s="263"/>
      <c r="L267" s="264"/>
      <c r="M267" s="265"/>
      <c r="N267" s="266">
        <v>0</v>
      </c>
      <c r="O267" s="261"/>
      <c r="P267" s="266">
        <v>0</v>
      </c>
      <c r="Q267" s="266">
        <f t="shared" ref="Q267:Q345" si="56">+N267*P267</f>
        <v>0</v>
      </c>
      <c r="R267" s="267" t="str">
        <f t="shared" si="50"/>
        <v/>
      </c>
      <c r="S267" s="266">
        <f t="shared" ref="S267:S345" si="57">+IF(W267="DDS",Q267,0)</f>
        <v>0</v>
      </c>
      <c r="T267" s="266">
        <f t="shared" ref="T267:T345" si="58">+IF(W267="ADD",Q267,0)</f>
        <v>0</v>
      </c>
      <c r="U267" s="266">
        <f t="shared" ref="U267:U345" si="59">+IF(W267="DDS",0,IF(W267="ADD",0,Q267))</f>
        <v>0</v>
      </c>
      <c r="V267" s="266">
        <v>0</v>
      </c>
    </row>
    <row r="268" spans="1:22" ht="27.95" hidden="1" customHeight="1">
      <c r="A268" s="260"/>
      <c r="B268" s="260"/>
      <c r="C268" s="260"/>
      <c r="D268" s="260"/>
      <c r="E268" s="260"/>
      <c r="F268" s="260"/>
      <c r="G268" s="260"/>
      <c r="H268" s="268" t="s">
        <v>1204</v>
      </c>
      <c r="I268" s="238"/>
      <c r="J268" s="262">
        <v>3</v>
      </c>
      <c r="K268" s="263" t="s">
        <v>966</v>
      </c>
      <c r="L268" s="264">
        <v>200000</v>
      </c>
      <c r="M268" s="265">
        <f>+J268*L268</f>
        <v>600000</v>
      </c>
      <c r="N268" s="262">
        <v>3</v>
      </c>
      <c r="O268" s="263" t="s">
        <v>966</v>
      </c>
      <c r="P268" s="264">
        <v>200000</v>
      </c>
      <c r="Q268" s="266">
        <f t="shared" si="56"/>
        <v>600000</v>
      </c>
      <c r="R268" s="267">
        <f t="shared" si="50"/>
        <v>1</v>
      </c>
      <c r="S268" s="266">
        <f t="shared" si="57"/>
        <v>0</v>
      </c>
      <c r="T268" s="266">
        <f t="shared" si="58"/>
        <v>0</v>
      </c>
      <c r="U268" s="266">
        <f t="shared" si="59"/>
        <v>600000</v>
      </c>
      <c r="V268" s="266">
        <v>0</v>
      </c>
    </row>
    <row r="269" spans="1:22" ht="27.95" hidden="1" customHeight="1">
      <c r="A269" s="260"/>
      <c r="B269" s="260"/>
      <c r="C269" s="260"/>
      <c r="D269" s="260"/>
      <c r="E269" s="260"/>
      <c r="F269" s="260"/>
      <c r="G269" s="260"/>
      <c r="H269" s="268" t="s">
        <v>1205</v>
      </c>
      <c r="I269" s="238"/>
      <c r="J269" s="262">
        <v>1</v>
      </c>
      <c r="K269" s="263" t="s">
        <v>966</v>
      </c>
      <c r="L269" s="264">
        <v>150000</v>
      </c>
      <c r="M269" s="265">
        <f>+J269*L269</f>
        <v>150000</v>
      </c>
      <c r="N269" s="262">
        <v>1</v>
      </c>
      <c r="O269" s="263" t="s">
        <v>966</v>
      </c>
      <c r="P269" s="264">
        <v>150000</v>
      </c>
      <c r="Q269" s="266">
        <f>+N269*P269</f>
        <v>150000</v>
      </c>
      <c r="R269" s="267">
        <f>IF(J269="","",Q269/M269)</f>
        <v>1</v>
      </c>
      <c r="S269" s="266">
        <f>+IF(W269="DDS",Q269,0)</f>
        <v>0</v>
      </c>
      <c r="T269" s="266">
        <f>+IF(W269="ADD",Q269,0)</f>
        <v>0</v>
      </c>
      <c r="U269" s="266">
        <f>+IF(W269="DDS",0,IF(W269="ADD",0,Q269))</f>
        <v>150000</v>
      </c>
      <c r="V269" s="266">
        <v>0</v>
      </c>
    </row>
    <row r="270" spans="1:22" ht="27.95" hidden="1" customHeight="1">
      <c r="A270" s="260">
        <v>1</v>
      </c>
      <c r="B270" s="269" t="s">
        <v>995</v>
      </c>
      <c r="C270" s="270" t="s">
        <v>963</v>
      </c>
      <c r="D270" s="252">
        <v>5</v>
      </c>
      <c r="E270" s="252">
        <v>2</v>
      </c>
      <c r="F270" s="252">
        <v>3</v>
      </c>
      <c r="G270" s="252"/>
      <c r="H270" s="253" t="s">
        <v>1206</v>
      </c>
      <c r="I270" s="238"/>
      <c r="J270" s="254"/>
      <c r="K270" s="255"/>
      <c r="L270" s="256"/>
      <c r="M270" s="257">
        <f>SUM(M271:M275)</f>
        <v>3090000</v>
      </c>
      <c r="N270" s="266"/>
      <c r="O270" s="261"/>
      <c r="P270" s="266"/>
      <c r="Q270" s="257">
        <f>SUM(Q271:Q275)</f>
        <v>2590000</v>
      </c>
      <c r="R270" s="267"/>
      <c r="S270" s="257">
        <f>SUM(S271:S275)</f>
        <v>0</v>
      </c>
      <c r="T270" s="257">
        <f>SUM(T271:T275)</f>
        <v>0</v>
      </c>
      <c r="U270" s="257">
        <f>SUM(U271:U275)</f>
        <v>2590000</v>
      </c>
      <c r="V270" s="257">
        <f>SUM(V271:V275)</f>
        <v>0</v>
      </c>
    </row>
    <row r="271" spans="1:22" ht="27.95" hidden="1" customHeight="1">
      <c r="A271" s="260">
        <v>1</v>
      </c>
      <c r="B271" s="269" t="s">
        <v>995</v>
      </c>
      <c r="C271" s="270" t="s">
        <v>963</v>
      </c>
      <c r="D271" s="260" t="s">
        <v>363</v>
      </c>
      <c r="E271" s="260">
        <v>2</v>
      </c>
      <c r="F271" s="260">
        <v>3</v>
      </c>
      <c r="G271" s="269" t="s">
        <v>960</v>
      </c>
      <c r="H271" s="261" t="s">
        <v>1207</v>
      </c>
      <c r="I271" s="238"/>
      <c r="J271" s="262"/>
      <c r="K271" s="263"/>
      <c r="L271" s="264"/>
      <c r="M271" s="265"/>
      <c r="N271" s="266"/>
      <c r="O271" s="261"/>
      <c r="P271" s="266"/>
      <c r="Q271" s="266"/>
      <c r="R271" s="267"/>
      <c r="S271" s="266"/>
      <c r="T271" s="266"/>
      <c r="U271" s="266"/>
      <c r="V271" s="266"/>
    </row>
    <row r="272" spans="1:22" ht="27.95" hidden="1" customHeight="1">
      <c r="A272" s="260"/>
      <c r="B272" s="260"/>
      <c r="C272" s="260"/>
      <c r="D272" s="260"/>
      <c r="E272" s="260"/>
      <c r="F272" s="260"/>
      <c r="G272" s="269"/>
      <c r="H272" s="268" t="s">
        <v>1208</v>
      </c>
      <c r="I272" s="238"/>
      <c r="J272" s="262">
        <v>53</v>
      </c>
      <c r="K272" s="263" t="s">
        <v>1209</v>
      </c>
      <c r="L272" s="264">
        <v>30000</v>
      </c>
      <c r="M272" s="265">
        <f>+J272*L272</f>
        <v>1590000</v>
      </c>
      <c r="N272" s="262">
        <v>53</v>
      </c>
      <c r="O272" s="263" t="s">
        <v>1209</v>
      </c>
      <c r="P272" s="264">
        <v>30000</v>
      </c>
      <c r="Q272" s="265">
        <f>+N272*P272</f>
        <v>1590000</v>
      </c>
      <c r="R272" s="267">
        <f>IF(J272="","",Q272/M272)</f>
        <v>1</v>
      </c>
      <c r="S272" s="266">
        <f>+IF(W272="DDS",Q272,0)</f>
        <v>0</v>
      </c>
      <c r="T272" s="266">
        <f>+IF(W272="ADD",Q272,0)</f>
        <v>0</v>
      </c>
      <c r="U272" s="266">
        <f>+IF(W272="DDS",0,IF(W272="ADD",0,Q272))</f>
        <v>1590000</v>
      </c>
      <c r="V272" s="266">
        <v>0</v>
      </c>
    </row>
    <row r="273" spans="1:22" ht="27.95" hidden="1" customHeight="1">
      <c r="A273" s="260">
        <v>1</v>
      </c>
      <c r="B273" s="269" t="s">
        <v>995</v>
      </c>
      <c r="C273" s="270" t="s">
        <v>963</v>
      </c>
      <c r="D273" s="260" t="s">
        <v>363</v>
      </c>
      <c r="E273" s="260">
        <v>2</v>
      </c>
      <c r="F273" s="260">
        <v>3</v>
      </c>
      <c r="G273" s="269" t="s">
        <v>995</v>
      </c>
      <c r="H273" s="268" t="s">
        <v>1210</v>
      </c>
      <c r="I273" s="238"/>
      <c r="J273" s="262"/>
      <c r="K273" s="263"/>
      <c r="L273" s="264"/>
      <c r="M273" s="265"/>
      <c r="N273" s="266"/>
      <c r="O273" s="261"/>
      <c r="P273" s="266"/>
      <c r="Q273" s="266"/>
      <c r="R273" s="267"/>
      <c r="S273" s="266"/>
      <c r="T273" s="266"/>
      <c r="U273" s="266"/>
      <c r="V273" s="266"/>
    </row>
    <row r="274" spans="1:22" ht="27.95" hidden="1" customHeight="1">
      <c r="A274" s="260"/>
      <c r="B274" s="269"/>
      <c r="C274" s="270"/>
      <c r="D274" s="260"/>
      <c r="E274" s="260"/>
      <c r="F274" s="260"/>
      <c r="G274" s="269"/>
      <c r="H274" s="268" t="s">
        <v>1211</v>
      </c>
      <c r="I274" s="238"/>
      <c r="J274" s="262">
        <v>20</v>
      </c>
      <c r="K274" s="263" t="s">
        <v>1096</v>
      </c>
      <c r="L274" s="264">
        <v>25000</v>
      </c>
      <c r="M274" s="265">
        <f>+J274*L274</f>
        <v>500000</v>
      </c>
      <c r="N274" s="266">
        <v>0</v>
      </c>
      <c r="O274" s="261"/>
      <c r="P274" s="266">
        <v>0</v>
      </c>
      <c r="Q274" s="266">
        <f>+N274*P274</f>
        <v>0</v>
      </c>
      <c r="R274" s="267">
        <f>IF(J274="","",Q274/M274)</f>
        <v>0</v>
      </c>
      <c r="S274" s="266">
        <f>+IF(W274="DDS",Q274,0)</f>
        <v>0</v>
      </c>
      <c r="T274" s="266">
        <f>+IF(W274="ADD",Q274,0)</f>
        <v>0</v>
      </c>
      <c r="U274" s="266">
        <f>+IF(W274="DDS",0,IF(W274="ADD",0,Q274))</f>
        <v>0</v>
      </c>
      <c r="V274" s="266">
        <v>0</v>
      </c>
    </row>
    <row r="275" spans="1:22" ht="27.95" hidden="1" customHeight="1">
      <c r="A275" s="260"/>
      <c r="B275" s="269"/>
      <c r="C275" s="270"/>
      <c r="D275" s="260"/>
      <c r="E275" s="260"/>
      <c r="F275" s="260"/>
      <c r="G275" s="269"/>
      <c r="H275" s="268" t="s">
        <v>1212</v>
      </c>
      <c r="I275" s="238"/>
      <c r="J275" s="262">
        <v>40</v>
      </c>
      <c r="K275" s="263" t="s">
        <v>1096</v>
      </c>
      <c r="L275" s="264">
        <v>25000</v>
      </c>
      <c r="M275" s="265">
        <f>+J275*L275</f>
        <v>1000000</v>
      </c>
      <c r="N275" s="262">
        <v>40</v>
      </c>
      <c r="O275" s="263" t="s">
        <v>1096</v>
      </c>
      <c r="P275" s="264">
        <v>25000</v>
      </c>
      <c r="Q275" s="266">
        <f>+N275*P275</f>
        <v>1000000</v>
      </c>
      <c r="R275" s="267">
        <f>IF(J275="","",Q275/M275)</f>
        <v>1</v>
      </c>
      <c r="S275" s="266">
        <f>+IF(W275="DDS",Q275,0)</f>
        <v>0</v>
      </c>
      <c r="T275" s="266">
        <f>+IF(W275="ADD",Q275,0)</f>
        <v>0</v>
      </c>
      <c r="U275" s="266">
        <f>+IF(W275="DDS",0,IF(W275="ADD",0,Q275))</f>
        <v>1000000</v>
      </c>
      <c r="V275" s="266">
        <v>0</v>
      </c>
    </row>
    <row r="276" spans="1:22" ht="27.95" customHeight="1">
      <c r="A276" s="229" t="s">
        <v>362</v>
      </c>
      <c r="B276" s="270" t="s">
        <v>995</v>
      </c>
      <c r="C276" s="270">
        <v>90</v>
      </c>
      <c r="D276" s="229"/>
      <c r="E276" s="270"/>
      <c r="F276" s="270"/>
      <c r="G276" s="229" t="s">
        <v>959</v>
      </c>
      <c r="H276" s="238" t="s">
        <v>1213</v>
      </c>
      <c r="I276" s="238" t="s">
        <v>1214</v>
      </c>
      <c r="J276" s="239"/>
      <c r="K276" s="240">
        <v>1</v>
      </c>
      <c r="L276" s="241" t="s">
        <v>386</v>
      </c>
      <c r="M276" s="234">
        <f>+M277</f>
        <v>565000</v>
      </c>
      <c r="N276" s="266"/>
      <c r="O276" s="240">
        <v>1</v>
      </c>
      <c r="P276" s="241" t="s">
        <v>386</v>
      </c>
      <c r="Q276" s="234">
        <f>+Q277</f>
        <v>565000</v>
      </c>
      <c r="R276" s="236">
        <f>Q276/M276*100%</f>
        <v>1</v>
      </c>
      <c r="S276" s="234">
        <f t="shared" ref="S276:U277" si="60">+S277</f>
        <v>0</v>
      </c>
      <c r="T276" s="234">
        <f t="shared" si="60"/>
        <v>0</v>
      </c>
      <c r="U276" s="234">
        <f t="shared" si="60"/>
        <v>565000</v>
      </c>
      <c r="V276" s="266"/>
    </row>
    <row r="277" spans="1:22" ht="27.95" hidden="1" customHeight="1">
      <c r="A277" s="229" t="s">
        <v>362</v>
      </c>
      <c r="B277" s="270" t="s">
        <v>995</v>
      </c>
      <c r="C277" s="270">
        <v>90</v>
      </c>
      <c r="D277" s="244" t="s">
        <v>363</v>
      </c>
      <c r="E277" s="244" t="s">
        <v>970</v>
      </c>
      <c r="F277" s="244"/>
      <c r="G277" s="244" t="s">
        <v>959</v>
      </c>
      <c r="H277" s="245" t="s">
        <v>1026</v>
      </c>
      <c r="I277" s="238"/>
      <c r="J277" s="246"/>
      <c r="K277" s="247"/>
      <c r="L277" s="248"/>
      <c r="M277" s="249">
        <f>+M278</f>
        <v>565000</v>
      </c>
      <c r="N277" s="266"/>
      <c r="O277" s="261"/>
      <c r="P277" s="249">
        <f>+P278</f>
        <v>215000</v>
      </c>
      <c r="Q277" s="249">
        <f>+Q278</f>
        <v>565000</v>
      </c>
      <c r="R277" s="267"/>
      <c r="S277" s="249">
        <f t="shared" si="60"/>
        <v>0</v>
      </c>
      <c r="T277" s="249">
        <f t="shared" si="60"/>
        <v>0</v>
      </c>
      <c r="U277" s="249">
        <f t="shared" si="60"/>
        <v>565000</v>
      </c>
      <c r="V277" s="266"/>
    </row>
    <row r="278" spans="1:22" ht="27.95" hidden="1" customHeight="1">
      <c r="A278" s="229" t="s">
        <v>362</v>
      </c>
      <c r="B278" s="270" t="s">
        <v>995</v>
      </c>
      <c r="C278" s="270">
        <v>90</v>
      </c>
      <c r="D278" s="252" t="s">
        <v>363</v>
      </c>
      <c r="E278" s="252" t="s">
        <v>970</v>
      </c>
      <c r="F278" s="252" t="s">
        <v>362</v>
      </c>
      <c r="G278" s="252" t="s">
        <v>959</v>
      </c>
      <c r="H278" s="253" t="s">
        <v>134</v>
      </c>
      <c r="I278" s="238"/>
      <c r="J278" s="254"/>
      <c r="K278" s="255"/>
      <c r="L278" s="256"/>
      <c r="M278" s="257">
        <f>+SUM(M279:M284)</f>
        <v>565000</v>
      </c>
      <c r="N278" s="266"/>
      <c r="O278" s="261"/>
      <c r="P278" s="257">
        <f>+SUM(P279:P284)</f>
        <v>215000</v>
      </c>
      <c r="Q278" s="257">
        <f>+SUM(Q279:Q284)</f>
        <v>565000</v>
      </c>
      <c r="R278" s="267"/>
      <c r="S278" s="257">
        <f>+SUM(S279:S284)</f>
        <v>0</v>
      </c>
      <c r="T278" s="257">
        <f>+SUM(T279:T284)</f>
        <v>0</v>
      </c>
      <c r="U278" s="257">
        <f>+SUM(U279:U284)</f>
        <v>565000</v>
      </c>
      <c r="V278" s="266"/>
    </row>
    <row r="279" spans="1:22" ht="27.95" hidden="1" customHeight="1">
      <c r="A279" s="229" t="s">
        <v>362</v>
      </c>
      <c r="B279" s="270" t="s">
        <v>995</v>
      </c>
      <c r="C279" s="270">
        <v>90</v>
      </c>
      <c r="D279" s="260" t="s">
        <v>363</v>
      </c>
      <c r="E279" s="260" t="s">
        <v>970</v>
      </c>
      <c r="F279" s="260" t="s">
        <v>362</v>
      </c>
      <c r="G279" s="260" t="s">
        <v>960</v>
      </c>
      <c r="H279" s="261" t="s">
        <v>1027</v>
      </c>
      <c r="I279" s="238"/>
      <c r="J279" s="262"/>
      <c r="K279" s="263"/>
      <c r="L279" s="264"/>
      <c r="M279" s="265"/>
      <c r="N279" s="266"/>
      <c r="O279" s="261"/>
      <c r="P279" s="266"/>
      <c r="Q279" s="266"/>
      <c r="R279" s="267"/>
      <c r="S279" s="266"/>
      <c r="T279" s="266"/>
      <c r="U279" s="266"/>
      <c r="V279" s="266"/>
    </row>
    <row r="280" spans="1:22" ht="27.95" hidden="1" customHeight="1">
      <c r="A280" s="260"/>
      <c r="B280" s="260"/>
      <c r="C280" s="260"/>
      <c r="D280" s="260"/>
      <c r="E280" s="260"/>
      <c r="F280" s="260"/>
      <c r="G280" s="260"/>
      <c r="H280" s="268" t="s">
        <v>1215</v>
      </c>
      <c r="I280" s="238"/>
      <c r="J280" s="262">
        <v>1</v>
      </c>
      <c r="K280" s="263" t="s">
        <v>1029</v>
      </c>
      <c r="L280" s="264">
        <v>55000</v>
      </c>
      <c r="M280" s="265">
        <f>+J280*L280</f>
        <v>55000</v>
      </c>
      <c r="N280" s="262">
        <v>1</v>
      </c>
      <c r="O280" s="263" t="s">
        <v>1029</v>
      </c>
      <c r="P280" s="264">
        <v>55000</v>
      </c>
      <c r="Q280" s="266">
        <f>+N280*P280</f>
        <v>55000</v>
      </c>
      <c r="R280" s="267">
        <f>IF(J280="","",Q280/M280)</f>
        <v>1</v>
      </c>
      <c r="S280" s="266">
        <f>+IF(W280="DDS",Q280,0)</f>
        <v>0</v>
      </c>
      <c r="T280" s="266">
        <f>+IF(W280="ADD",Q280,0)</f>
        <v>0</v>
      </c>
      <c r="U280" s="266">
        <f>+IF(W280="DDS",0,IF(W280="ADD",0,Q280))</f>
        <v>55000</v>
      </c>
      <c r="V280" s="266">
        <v>0</v>
      </c>
    </row>
    <row r="281" spans="1:22" ht="27.95" hidden="1" customHeight="1">
      <c r="A281" s="229" t="s">
        <v>362</v>
      </c>
      <c r="B281" s="270" t="s">
        <v>995</v>
      </c>
      <c r="C281" s="270">
        <v>90</v>
      </c>
      <c r="D281" s="260" t="s">
        <v>363</v>
      </c>
      <c r="E281" s="260" t="s">
        <v>970</v>
      </c>
      <c r="F281" s="260" t="s">
        <v>362</v>
      </c>
      <c r="G281" s="260" t="s">
        <v>1038</v>
      </c>
      <c r="H281" s="261" t="s">
        <v>1090</v>
      </c>
      <c r="I281" s="238"/>
      <c r="J281" s="262"/>
      <c r="K281" s="263"/>
      <c r="L281" s="264"/>
      <c r="M281" s="265"/>
      <c r="N281" s="266"/>
      <c r="O281" s="261"/>
      <c r="P281" s="266"/>
      <c r="Q281" s="266"/>
      <c r="R281" s="267"/>
      <c r="S281" s="266"/>
      <c r="T281" s="266"/>
      <c r="U281" s="266"/>
      <c r="V281" s="266"/>
    </row>
    <row r="282" spans="1:22" ht="27.95" hidden="1" customHeight="1">
      <c r="A282" s="260"/>
      <c r="B282" s="260"/>
      <c r="C282" s="260"/>
      <c r="D282" s="260"/>
      <c r="E282" s="260"/>
      <c r="F282" s="260"/>
      <c r="G282" s="260"/>
      <c r="H282" s="268" t="s">
        <v>1216</v>
      </c>
      <c r="I282" s="238"/>
      <c r="J282" s="262">
        <v>1</v>
      </c>
      <c r="K282" s="263" t="s">
        <v>1029</v>
      </c>
      <c r="L282" s="264">
        <v>150000</v>
      </c>
      <c r="M282" s="265">
        <f>+J282*L282</f>
        <v>150000</v>
      </c>
      <c r="N282" s="262">
        <v>1</v>
      </c>
      <c r="O282" s="263" t="s">
        <v>1029</v>
      </c>
      <c r="P282" s="264">
        <v>150000</v>
      </c>
      <c r="Q282" s="266">
        <f>+N282*P282</f>
        <v>150000</v>
      </c>
      <c r="R282" s="267">
        <f>IF(J282="","",Q282/M282)</f>
        <v>1</v>
      </c>
      <c r="S282" s="266">
        <f>+IF(W282="DDS",Q282,0)</f>
        <v>0</v>
      </c>
      <c r="T282" s="266">
        <f>+IF(W282="ADD",Q282,0)</f>
        <v>0</v>
      </c>
      <c r="U282" s="266">
        <f>+IF(W282="DDS",0,IF(W282="ADD",0,Q282))</f>
        <v>150000</v>
      </c>
      <c r="V282" s="266">
        <v>0</v>
      </c>
    </row>
    <row r="283" spans="1:22" ht="27.95" hidden="1" customHeight="1">
      <c r="A283" s="229" t="s">
        <v>362</v>
      </c>
      <c r="B283" s="270" t="s">
        <v>995</v>
      </c>
      <c r="C283" s="270">
        <v>90</v>
      </c>
      <c r="D283" s="260" t="s">
        <v>363</v>
      </c>
      <c r="E283" s="260" t="s">
        <v>970</v>
      </c>
      <c r="F283" s="260" t="s">
        <v>362</v>
      </c>
      <c r="G283" s="269" t="s">
        <v>1040</v>
      </c>
      <c r="H283" s="268" t="s">
        <v>1217</v>
      </c>
      <c r="I283" s="238"/>
      <c r="J283" s="262"/>
      <c r="K283" s="263"/>
      <c r="L283" s="264"/>
      <c r="M283" s="265"/>
      <c r="N283" s="266"/>
      <c r="O283" s="261"/>
      <c r="P283" s="266"/>
      <c r="Q283" s="266"/>
      <c r="R283" s="267"/>
      <c r="S283" s="266"/>
      <c r="T283" s="266"/>
      <c r="U283" s="266"/>
      <c r="V283" s="266"/>
    </row>
    <row r="284" spans="1:22" ht="27.95" hidden="1" customHeight="1">
      <c r="A284" s="260"/>
      <c r="B284" s="260"/>
      <c r="C284" s="260"/>
      <c r="D284" s="260"/>
      <c r="E284" s="260"/>
      <c r="F284" s="260"/>
      <c r="G284" s="260"/>
      <c r="H284" s="268" t="s">
        <v>1218</v>
      </c>
      <c r="I284" s="238"/>
      <c r="J284" s="262">
        <v>36</v>
      </c>
      <c r="K284" s="263" t="s">
        <v>1042</v>
      </c>
      <c r="L284" s="264">
        <v>10000</v>
      </c>
      <c r="M284" s="265">
        <f>+J284*L284</f>
        <v>360000</v>
      </c>
      <c r="N284" s="262">
        <v>36</v>
      </c>
      <c r="O284" s="263" t="s">
        <v>1042</v>
      </c>
      <c r="P284" s="264">
        <v>10000</v>
      </c>
      <c r="Q284" s="266">
        <f>+N284*P284</f>
        <v>360000</v>
      </c>
      <c r="R284" s="267">
        <f>IF(J284="","",Q284/M284)</f>
        <v>1</v>
      </c>
      <c r="S284" s="266">
        <f>+IF(W284="DDS",Q284,0)</f>
        <v>0</v>
      </c>
      <c r="T284" s="266">
        <f>+IF(W284="ADD",Q284,0)</f>
        <v>0</v>
      </c>
      <c r="U284" s="266">
        <f>+IF(W284="DDS",0,IF(W284="ADD",0,Q284))</f>
        <v>360000</v>
      </c>
      <c r="V284" s="266">
        <v>0</v>
      </c>
    </row>
    <row r="285" spans="1:22" ht="27.95" customHeight="1">
      <c r="A285" s="229" t="s">
        <v>362</v>
      </c>
      <c r="B285" s="229" t="s">
        <v>1002</v>
      </c>
      <c r="C285" s="260"/>
      <c r="D285" s="229"/>
      <c r="E285" s="229"/>
      <c r="F285" s="229"/>
      <c r="G285" s="229" t="s">
        <v>959</v>
      </c>
      <c r="H285" s="238" t="s">
        <v>160</v>
      </c>
      <c r="I285" s="238"/>
      <c r="J285" s="231"/>
      <c r="K285" s="232"/>
      <c r="L285" s="237"/>
      <c r="M285" s="234">
        <f>M286+M298+M305+M324+M346+M362+M379+M372</f>
        <v>63699759</v>
      </c>
      <c r="N285" s="234"/>
      <c r="O285" s="234"/>
      <c r="P285" s="234"/>
      <c r="Q285" s="234">
        <f>Q286+Q298+Q305+Q324+Q346+Q362+Q379+Q372</f>
        <v>40685000</v>
      </c>
      <c r="R285" s="236">
        <f>Q285/M285*100%</f>
        <v>0.63869943369801441</v>
      </c>
      <c r="S285" s="234">
        <f>S286+S298+S305+S324+S346+S362+S379+S372</f>
        <v>0</v>
      </c>
      <c r="T285" s="234">
        <f>T286+T298+T305+T324+T346+T362+T379+T372</f>
        <v>0</v>
      </c>
      <c r="U285" s="234">
        <f>U286+U298+U305+U324+U346+U362+U379+U372</f>
        <v>38745000</v>
      </c>
      <c r="V285" s="234">
        <f>V286+V298+V305+V324+V346+V362+V379+V372</f>
        <v>0</v>
      </c>
    </row>
    <row r="286" spans="1:22" ht="27.95" customHeight="1">
      <c r="A286" s="252" t="s">
        <v>362</v>
      </c>
      <c r="B286" s="252" t="s">
        <v>1002</v>
      </c>
      <c r="C286" s="277" t="s">
        <v>960</v>
      </c>
      <c r="D286" s="229"/>
      <c r="E286" s="229"/>
      <c r="F286" s="270"/>
      <c r="G286" s="229" t="s">
        <v>959</v>
      </c>
      <c r="H286" s="238" t="s">
        <v>1219</v>
      </c>
      <c r="I286" s="238" t="s">
        <v>1220</v>
      </c>
      <c r="J286" s="239"/>
      <c r="K286" s="240">
        <v>2</v>
      </c>
      <c r="L286" s="241" t="s">
        <v>386</v>
      </c>
      <c r="M286" s="234">
        <f>+M287</f>
        <v>3320000</v>
      </c>
      <c r="N286" s="234"/>
      <c r="O286" s="240">
        <v>2</v>
      </c>
      <c r="P286" s="241" t="s">
        <v>386</v>
      </c>
      <c r="Q286" s="234">
        <f>+Q287</f>
        <v>1770000</v>
      </c>
      <c r="R286" s="236">
        <f>Q286/M286*100%</f>
        <v>0.5331325301204819</v>
      </c>
      <c r="S286" s="234">
        <f t="shared" ref="S286:V287" si="61">+S287</f>
        <v>0</v>
      </c>
      <c r="T286" s="234">
        <f t="shared" si="61"/>
        <v>0</v>
      </c>
      <c r="U286" s="234">
        <f t="shared" si="61"/>
        <v>1770000</v>
      </c>
      <c r="V286" s="234">
        <f t="shared" si="61"/>
        <v>0</v>
      </c>
    </row>
    <row r="287" spans="1:22" ht="27.95" hidden="1" customHeight="1">
      <c r="A287" s="244" t="s">
        <v>362</v>
      </c>
      <c r="B287" s="244" t="s">
        <v>1002</v>
      </c>
      <c r="C287" s="282" t="s">
        <v>960</v>
      </c>
      <c r="D287" s="244" t="s">
        <v>363</v>
      </c>
      <c r="E287" s="244" t="s">
        <v>970</v>
      </c>
      <c r="F287" s="244" t="s">
        <v>959</v>
      </c>
      <c r="G287" s="244" t="s">
        <v>959</v>
      </c>
      <c r="H287" s="245" t="s">
        <v>1026</v>
      </c>
      <c r="I287" s="238"/>
      <c r="J287" s="246"/>
      <c r="K287" s="247"/>
      <c r="L287" s="248"/>
      <c r="M287" s="249">
        <f>+M288</f>
        <v>3320000</v>
      </c>
      <c r="N287" s="249"/>
      <c r="O287" s="249"/>
      <c r="P287" s="249"/>
      <c r="Q287" s="249">
        <f>+Q288</f>
        <v>1770000</v>
      </c>
      <c r="R287" s="267" t="str">
        <f t="shared" si="50"/>
        <v/>
      </c>
      <c r="S287" s="249">
        <f t="shared" si="61"/>
        <v>0</v>
      </c>
      <c r="T287" s="249">
        <f t="shared" si="61"/>
        <v>0</v>
      </c>
      <c r="U287" s="249">
        <f t="shared" si="61"/>
        <v>1770000</v>
      </c>
      <c r="V287" s="249">
        <f t="shared" si="61"/>
        <v>0</v>
      </c>
    </row>
    <row r="288" spans="1:22" ht="27.95" hidden="1" customHeight="1">
      <c r="A288" s="252" t="s">
        <v>362</v>
      </c>
      <c r="B288" s="252" t="s">
        <v>1002</v>
      </c>
      <c r="C288" s="277" t="s">
        <v>960</v>
      </c>
      <c r="D288" s="252" t="s">
        <v>363</v>
      </c>
      <c r="E288" s="252" t="s">
        <v>970</v>
      </c>
      <c r="F288" s="252" t="s">
        <v>362</v>
      </c>
      <c r="G288" s="252" t="s">
        <v>959</v>
      </c>
      <c r="H288" s="253" t="s">
        <v>134</v>
      </c>
      <c r="I288" s="238"/>
      <c r="J288" s="254"/>
      <c r="K288" s="255"/>
      <c r="L288" s="256"/>
      <c r="M288" s="257">
        <f>+SUM(M289:M297)</f>
        <v>3320000</v>
      </c>
      <c r="N288" s="257"/>
      <c r="O288" s="257"/>
      <c r="P288" s="257"/>
      <c r="Q288" s="257">
        <f>+SUM(Q289:Q297)</f>
        <v>1770000</v>
      </c>
      <c r="R288" s="267" t="str">
        <f t="shared" si="50"/>
        <v/>
      </c>
      <c r="S288" s="257">
        <f>+SUM(S289:S297)</f>
        <v>0</v>
      </c>
      <c r="T288" s="257">
        <f>+SUM(T289:T297)</f>
        <v>0</v>
      </c>
      <c r="U288" s="257">
        <f>+SUM(U289:U297)</f>
        <v>1770000</v>
      </c>
      <c r="V288" s="257">
        <f>+SUM(V289:V297)</f>
        <v>0</v>
      </c>
    </row>
    <row r="289" spans="1:22" ht="27.95" hidden="1" customHeight="1">
      <c r="A289" s="244" t="s">
        <v>362</v>
      </c>
      <c r="B289" s="244" t="s">
        <v>1002</v>
      </c>
      <c r="C289" s="282" t="s">
        <v>960</v>
      </c>
      <c r="D289" s="260" t="s">
        <v>363</v>
      </c>
      <c r="E289" s="260" t="s">
        <v>970</v>
      </c>
      <c r="F289" s="260" t="s">
        <v>362</v>
      </c>
      <c r="G289" s="260" t="s">
        <v>960</v>
      </c>
      <c r="H289" s="261" t="s">
        <v>1027</v>
      </c>
      <c r="I289" s="238"/>
      <c r="J289" s="262"/>
      <c r="K289" s="263"/>
      <c r="L289" s="264"/>
      <c r="M289" s="265"/>
      <c r="N289" s="266">
        <v>0</v>
      </c>
      <c r="O289" s="261"/>
      <c r="P289" s="266">
        <v>0</v>
      </c>
      <c r="Q289" s="266">
        <f t="shared" si="56"/>
        <v>0</v>
      </c>
      <c r="R289" s="267" t="str">
        <f t="shared" si="50"/>
        <v/>
      </c>
      <c r="S289" s="266">
        <f t="shared" si="57"/>
        <v>0</v>
      </c>
      <c r="T289" s="266">
        <f t="shared" si="58"/>
        <v>0</v>
      </c>
      <c r="U289" s="266">
        <f t="shared" si="59"/>
        <v>0</v>
      </c>
      <c r="V289" s="266">
        <v>0</v>
      </c>
    </row>
    <row r="290" spans="1:22" ht="27.95" hidden="1" customHeight="1">
      <c r="A290" s="260"/>
      <c r="B290" s="260"/>
      <c r="C290" s="260"/>
      <c r="D290" s="260"/>
      <c r="E290" s="260"/>
      <c r="F290" s="260"/>
      <c r="G290" s="260"/>
      <c r="H290" s="268" t="s">
        <v>1221</v>
      </c>
      <c r="I290" s="238"/>
      <c r="J290" s="262">
        <v>1</v>
      </c>
      <c r="K290" s="263" t="s">
        <v>1029</v>
      </c>
      <c r="L290" s="264">
        <v>120000</v>
      </c>
      <c r="M290" s="265">
        <f>+J290*L290</f>
        <v>120000</v>
      </c>
      <c r="N290" s="262">
        <v>1</v>
      </c>
      <c r="O290" s="263" t="s">
        <v>1029</v>
      </c>
      <c r="P290" s="264">
        <v>120000</v>
      </c>
      <c r="Q290" s="266">
        <f t="shared" si="56"/>
        <v>120000</v>
      </c>
      <c r="R290" s="267">
        <f t="shared" si="50"/>
        <v>1</v>
      </c>
      <c r="S290" s="266">
        <f t="shared" si="57"/>
        <v>0</v>
      </c>
      <c r="T290" s="266">
        <f t="shared" si="58"/>
        <v>0</v>
      </c>
      <c r="U290" s="266">
        <f t="shared" si="59"/>
        <v>120000</v>
      </c>
      <c r="V290" s="266">
        <v>0</v>
      </c>
    </row>
    <row r="291" spans="1:22" ht="27.95" hidden="1" customHeight="1">
      <c r="A291" s="244" t="s">
        <v>362</v>
      </c>
      <c r="B291" s="244" t="s">
        <v>1002</v>
      </c>
      <c r="C291" s="282" t="s">
        <v>960</v>
      </c>
      <c r="D291" s="260" t="s">
        <v>363</v>
      </c>
      <c r="E291" s="260" t="s">
        <v>970</v>
      </c>
      <c r="F291" s="260" t="s">
        <v>362</v>
      </c>
      <c r="G291" s="260" t="s">
        <v>1038</v>
      </c>
      <c r="H291" s="261" t="s">
        <v>1090</v>
      </c>
      <c r="I291" s="238"/>
      <c r="J291" s="262"/>
      <c r="K291" s="263"/>
      <c r="L291" s="264"/>
      <c r="M291" s="265"/>
      <c r="N291" s="266">
        <v>0</v>
      </c>
      <c r="O291" s="261"/>
      <c r="P291" s="266">
        <v>0</v>
      </c>
      <c r="Q291" s="266">
        <f t="shared" si="56"/>
        <v>0</v>
      </c>
      <c r="R291" s="267" t="str">
        <f t="shared" si="50"/>
        <v/>
      </c>
      <c r="S291" s="266">
        <f t="shared" si="57"/>
        <v>0</v>
      </c>
      <c r="T291" s="266">
        <f t="shared" si="58"/>
        <v>0</v>
      </c>
      <c r="U291" s="266">
        <f t="shared" si="59"/>
        <v>0</v>
      </c>
      <c r="V291" s="266">
        <v>0</v>
      </c>
    </row>
    <row r="292" spans="1:22" ht="27.95" hidden="1" customHeight="1">
      <c r="A292" s="244"/>
      <c r="B292" s="244"/>
      <c r="C292" s="282"/>
      <c r="D292" s="260"/>
      <c r="E292" s="260"/>
      <c r="F292" s="260"/>
      <c r="G292" s="260"/>
      <c r="H292" s="268" t="s">
        <v>1216</v>
      </c>
      <c r="I292" s="238"/>
      <c r="J292" s="262">
        <v>1</v>
      </c>
      <c r="K292" s="263" t="s">
        <v>1029</v>
      </c>
      <c r="L292" s="264">
        <v>300000</v>
      </c>
      <c r="M292" s="265">
        <f>+J292*L292</f>
        <v>300000</v>
      </c>
      <c r="N292" s="262">
        <v>1</v>
      </c>
      <c r="O292" s="263" t="s">
        <v>1029</v>
      </c>
      <c r="P292" s="264">
        <v>150000</v>
      </c>
      <c r="Q292" s="266">
        <f t="shared" si="56"/>
        <v>150000</v>
      </c>
      <c r="R292" s="267">
        <f t="shared" si="50"/>
        <v>0.5</v>
      </c>
      <c r="S292" s="266">
        <f t="shared" si="57"/>
        <v>0</v>
      </c>
      <c r="T292" s="266">
        <f t="shared" si="58"/>
        <v>0</v>
      </c>
      <c r="U292" s="266">
        <f t="shared" si="59"/>
        <v>150000</v>
      </c>
      <c r="V292" s="266">
        <v>0</v>
      </c>
    </row>
    <row r="293" spans="1:22" ht="27.95" hidden="1" customHeight="1">
      <c r="A293" s="244" t="s">
        <v>362</v>
      </c>
      <c r="B293" s="244" t="s">
        <v>1002</v>
      </c>
      <c r="C293" s="282" t="s">
        <v>960</v>
      </c>
      <c r="D293" s="260" t="s">
        <v>363</v>
      </c>
      <c r="E293" s="260" t="s">
        <v>970</v>
      </c>
      <c r="F293" s="260" t="s">
        <v>362</v>
      </c>
      <c r="G293" s="260" t="s">
        <v>1040</v>
      </c>
      <c r="H293" s="261" t="s">
        <v>252</v>
      </c>
      <c r="I293" s="238"/>
      <c r="J293" s="262"/>
      <c r="K293" s="263"/>
      <c r="L293" s="264"/>
      <c r="M293" s="265"/>
      <c r="N293" s="266">
        <v>0</v>
      </c>
      <c r="O293" s="261"/>
      <c r="P293" s="266">
        <v>0</v>
      </c>
      <c r="Q293" s="266">
        <f t="shared" si="56"/>
        <v>0</v>
      </c>
      <c r="R293" s="267" t="str">
        <f t="shared" si="50"/>
        <v/>
      </c>
      <c r="S293" s="266">
        <f t="shared" si="57"/>
        <v>0</v>
      </c>
      <c r="T293" s="266">
        <f t="shared" si="58"/>
        <v>0</v>
      </c>
      <c r="U293" s="266">
        <f t="shared" si="59"/>
        <v>0</v>
      </c>
      <c r="V293" s="266">
        <v>0</v>
      </c>
    </row>
    <row r="294" spans="1:22" ht="27.95" hidden="1" customHeight="1">
      <c r="A294" s="260"/>
      <c r="B294" s="260"/>
      <c r="C294" s="260"/>
      <c r="D294" s="260"/>
      <c r="E294" s="260"/>
      <c r="F294" s="260"/>
      <c r="G294" s="260"/>
      <c r="H294" s="268" t="s">
        <v>1222</v>
      </c>
      <c r="I294" s="238"/>
      <c r="J294" s="262">
        <v>40</v>
      </c>
      <c r="K294" s="263" t="s">
        <v>1042</v>
      </c>
      <c r="L294" s="264">
        <v>35000</v>
      </c>
      <c r="M294" s="265">
        <f>+J294*L294</f>
        <v>1400000</v>
      </c>
      <c r="N294" s="266">
        <v>0</v>
      </c>
      <c r="O294" s="261"/>
      <c r="P294" s="266">
        <v>0</v>
      </c>
      <c r="Q294" s="266">
        <f t="shared" si="56"/>
        <v>0</v>
      </c>
      <c r="R294" s="267">
        <f t="shared" si="50"/>
        <v>0</v>
      </c>
      <c r="S294" s="266">
        <f t="shared" si="57"/>
        <v>0</v>
      </c>
      <c r="T294" s="266">
        <f t="shared" si="58"/>
        <v>0</v>
      </c>
      <c r="U294" s="266">
        <f t="shared" si="59"/>
        <v>0</v>
      </c>
      <c r="V294" s="266">
        <v>0</v>
      </c>
    </row>
    <row r="295" spans="1:22" ht="27.95" hidden="1" customHeight="1">
      <c r="A295" s="244"/>
      <c r="B295" s="244"/>
      <c r="C295" s="282"/>
      <c r="D295" s="260"/>
      <c r="E295" s="260"/>
      <c r="F295" s="260"/>
      <c r="G295" s="260"/>
      <c r="H295" s="268" t="s">
        <v>1223</v>
      </c>
      <c r="I295" s="238"/>
      <c r="J295" s="262">
        <v>40</v>
      </c>
      <c r="K295" s="263" t="s">
        <v>1042</v>
      </c>
      <c r="L295" s="264">
        <v>35000</v>
      </c>
      <c r="M295" s="265">
        <f>+J295*L295</f>
        <v>1400000</v>
      </c>
      <c r="N295" s="262">
        <v>40</v>
      </c>
      <c r="O295" s="263" t="s">
        <v>1042</v>
      </c>
      <c r="P295" s="264">
        <v>35000</v>
      </c>
      <c r="Q295" s="266">
        <f t="shared" si="56"/>
        <v>1400000</v>
      </c>
      <c r="R295" s="267">
        <f t="shared" si="50"/>
        <v>1</v>
      </c>
      <c r="S295" s="266">
        <f t="shared" si="57"/>
        <v>0</v>
      </c>
      <c r="T295" s="266">
        <f t="shared" si="58"/>
        <v>0</v>
      </c>
      <c r="U295" s="266">
        <f t="shared" si="59"/>
        <v>1400000</v>
      </c>
      <c r="V295" s="266">
        <v>0</v>
      </c>
    </row>
    <row r="296" spans="1:22" ht="27.95" hidden="1" customHeight="1">
      <c r="A296" s="244" t="s">
        <v>362</v>
      </c>
      <c r="B296" s="244" t="s">
        <v>1002</v>
      </c>
      <c r="C296" s="282" t="s">
        <v>960</v>
      </c>
      <c r="D296" s="260" t="s">
        <v>363</v>
      </c>
      <c r="E296" s="260" t="s">
        <v>970</v>
      </c>
      <c r="F296" s="260" t="s">
        <v>362</v>
      </c>
      <c r="G296" s="260">
        <v>99</v>
      </c>
      <c r="H296" s="261" t="s">
        <v>1224</v>
      </c>
      <c r="I296" s="238"/>
      <c r="J296" s="262"/>
      <c r="K296" s="263"/>
      <c r="L296" s="264"/>
      <c r="M296" s="265"/>
      <c r="N296" s="266">
        <v>0</v>
      </c>
      <c r="O296" s="261"/>
      <c r="P296" s="266">
        <v>0</v>
      </c>
      <c r="Q296" s="266">
        <f t="shared" si="56"/>
        <v>0</v>
      </c>
      <c r="R296" s="267" t="str">
        <f t="shared" si="50"/>
        <v/>
      </c>
      <c r="S296" s="266">
        <f t="shared" si="57"/>
        <v>0</v>
      </c>
      <c r="T296" s="266">
        <f t="shared" si="58"/>
        <v>0</v>
      </c>
      <c r="U296" s="266">
        <f t="shared" si="59"/>
        <v>0</v>
      </c>
      <c r="V296" s="266">
        <v>0</v>
      </c>
    </row>
    <row r="297" spans="1:22" ht="27.95" hidden="1" customHeight="1">
      <c r="A297" s="260"/>
      <c r="B297" s="260"/>
      <c r="C297" s="260"/>
      <c r="D297" s="260"/>
      <c r="E297" s="260"/>
      <c r="F297" s="260"/>
      <c r="G297" s="260"/>
      <c r="H297" s="268" t="s">
        <v>1225</v>
      </c>
      <c r="I297" s="238"/>
      <c r="J297" s="262">
        <v>4</v>
      </c>
      <c r="K297" s="263" t="s">
        <v>1191</v>
      </c>
      <c r="L297" s="264">
        <v>25000</v>
      </c>
      <c r="M297" s="265">
        <f>+J297*L297</f>
        <v>100000</v>
      </c>
      <c r="N297" s="262">
        <v>4</v>
      </c>
      <c r="O297" s="263" t="s">
        <v>1191</v>
      </c>
      <c r="P297" s="264">
        <v>25000</v>
      </c>
      <c r="Q297" s="266">
        <f t="shared" si="56"/>
        <v>100000</v>
      </c>
      <c r="R297" s="267">
        <f t="shared" si="50"/>
        <v>1</v>
      </c>
      <c r="S297" s="266">
        <f t="shared" si="57"/>
        <v>0</v>
      </c>
      <c r="T297" s="266">
        <f t="shared" si="58"/>
        <v>0</v>
      </c>
      <c r="U297" s="266">
        <f t="shared" si="59"/>
        <v>100000</v>
      </c>
      <c r="V297" s="266">
        <v>0</v>
      </c>
    </row>
    <row r="298" spans="1:22" ht="39" customHeight="1">
      <c r="A298" s="229" t="s">
        <v>362</v>
      </c>
      <c r="B298" s="229" t="s">
        <v>1002</v>
      </c>
      <c r="C298" s="229" t="s">
        <v>963</v>
      </c>
      <c r="D298" s="229"/>
      <c r="E298" s="229"/>
      <c r="F298" s="229"/>
      <c r="G298" s="229" t="s">
        <v>959</v>
      </c>
      <c r="H298" s="238" t="s">
        <v>361</v>
      </c>
      <c r="I298" s="238" t="s">
        <v>1226</v>
      </c>
      <c r="J298" s="239"/>
      <c r="K298" s="240">
        <v>1</v>
      </c>
      <c r="L298" s="241" t="s">
        <v>386</v>
      </c>
      <c r="M298" s="234">
        <f>+M299</f>
        <v>1575000</v>
      </c>
      <c r="N298" s="266">
        <v>0</v>
      </c>
      <c r="O298" s="240">
        <v>1</v>
      </c>
      <c r="P298" s="241" t="s">
        <v>386</v>
      </c>
      <c r="Q298" s="234">
        <f>+Q299</f>
        <v>1575000</v>
      </c>
      <c r="R298" s="236">
        <f>Q298/M298*100%</f>
        <v>1</v>
      </c>
      <c r="S298" s="234">
        <f t="shared" ref="S298:V299" si="62">+S299</f>
        <v>0</v>
      </c>
      <c r="T298" s="234">
        <f t="shared" si="62"/>
        <v>0</v>
      </c>
      <c r="U298" s="234">
        <f t="shared" si="62"/>
        <v>1650000</v>
      </c>
      <c r="V298" s="234">
        <f t="shared" si="62"/>
        <v>0</v>
      </c>
    </row>
    <row r="299" spans="1:22" ht="27.95" hidden="1" customHeight="1">
      <c r="A299" s="244" t="s">
        <v>362</v>
      </c>
      <c r="B299" s="244" t="s">
        <v>1002</v>
      </c>
      <c r="C299" s="229" t="s">
        <v>963</v>
      </c>
      <c r="D299" s="244" t="s">
        <v>363</v>
      </c>
      <c r="E299" s="244" t="s">
        <v>970</v>
      </c>
      <c r="F299" s="244" t="s">
        <v>959</v>
      </c>
      <c r="G299" s="244" t="s">
        <v>959</v>
      </c>
      <c r="H299" s="245" t="s">
        <v>1026</v>
      </c>
      <c r="I299" s="230"/>
      <c r="J299" s="246"/>
      <c r="K299" s="247"/>
      <c r="L299" s="248"/>
      <c r="M299" s="249">
        <f>+M300</f>
        <v>1575000</v>
      </c>
      <c r="N299" s="266">
        <v>0</v>
      </c>
      <c r="O299" s="261"/>
      <c r="P299" s="266">
        <v>0</v>
      </c>
      <c r="Q299" s="249">
        <f>+Q300</f>
        <v>1575000</v>
      </c>
      <c r="R299" s="267" t="str">
        <f t="shared" si="50"/>
        <v/>
      </c>
      <c r="S299" s="249">
        <f t="shared" si="62"/>
        <v>0</v>
      </c>
      <c r="T299" s="249">
        <f t="shared" si="62"/>
        <v>0</v>
      </c>
      <c r="U299" s="249">
        <f t="shared" si="62"/>
        <v>1650000</v>
      </c>
      <c r="V299" s="249">
        <f t="shared" si="62"/>
        <v>0</v>
      </c>
    </row>
    <row r="300" spans="1:22" ht="27.95" hidden="1" customHeight="1">
      <c r="A300" s="244" t="s">
        <v>362</v>
      </c>
      <c r="B300" s="244" t="s">
        <v>1002</v>
      </c>
      <c r="C300" s="229" t="s">
        <v>963</v>
      </c>
      <c r="D300" s="252" t="s">
        <v>363</v>
      </c>
      <c r="E300" s="252" t="s">
        <v>970</v>
      </c>
      <c r="F300" s="252" t="s">
        <v>362</v>
      </c>
      <c r="G300" s="252" t="s">
        <v>959</v>
      </c>
      <c r="H300" s="253" t="s">
        <v>134</v>
      </c>
      <c r="I300" s="230"/>
      <c r="J300" s="254"/>
      <c r="K300" s="255"/>
      <c r="L300" s="256"/>
      <c r="M300" s="257">
        <f>+SUM(M301:M304)</f>
        <v>1575000</v>
      </c>
      <c r="N300" s="266">
        <v>0</v>
      </c>
      <c r="O300" s="261"/>
      <c r="P300" s="266">
        <v>0</v>
      </c>
      <c r="Q300" s="257">
        <f>+SUM(Q301:Q304)</f>
        <v>1575000</v>
      </c>
      <c r="R300" s="267" t="str">
        <f t="shared" si="50"/>
        <v/>
      </c>
      <c r="S300" s="257">
        <f>+SUM(S301:S304)</f>
        <v>0</v>
      </c>
      <c r="T300" s="257">
        <f>+SUM(T301:T304)</f>
        <v>0</v>
      </c>
      <c r="U300" s="257">
        <f>+SUM(U301:U304)</f>
        <v>1650000</v>
      </c>
      <c r="V300" s="257">
        <f>+SUM(V301:V304)</f>
        <v>0</v>
      </c>
    </row>
    <row r="301" spans="1:22" ht="27.95" hidden="1" customHeight="1">
      <c r="A301" s="244" t="s">
        <v>362</v>
      </c>
      <c r="B301" s="244" t="s">
        <v>1002</v>
      </c>
      <c r="C301" s="229" t="s">
        <v>963</v>
      </c>
      <c r="D301" s="260" t="s">
        <v>363</v>
      </c>
      <c r="E301" s="260" t="s">
        <v>970</v>
      </c>
      <c r="F301" s="260" t="s">
        <v>362</v>
      </c>
      <c r="G301" s="260" t="s">
        <v>1038</v>
      </c>
      <c r="H301" s="261" t="s">
        <v>1090</v>
      </c>
      <c r="I301" s="230"/>
      <c r="J301" s="262">
        <v>1</v>
      </c>
      <c r="K301" s="263" t="s">
        <v>1029</v>
      </c>
      <c r="L301" s="264">
        <v>100000</v>
      </c>
      <c r="M301" s="265">
        <f>+J301*L301</f>
        <v>100000</v>
      </c>
      <c r="N301" s="266">
        <v>1</v>
      </c>
      <c r="O301" s="261" t="s">
        <v>1029</v>
      </c>
      <c r="P301" s="266">
        <v>100000</v>
      </c>
      <c r="Q301" s="266">
        <f t="shared" si="56"/>
        <v>100000</v>
      </c>
      <c r="R301" s="267">
        <f t="shared" si="50"/>
        <v>1</v>
      </c>
      <c r="S301" s="266">
        <f t="shared" si="57"/>
        <v>0</v>
      </c>
      <c r="T301" s="266">
        <f t="shared" si="58"/>
        <v>0</v>
      </c>
      <c r="U301" s="266">
        <f t="shared" si="59"/>
        <v>100000</v>
      </c>
      <c r="V301" s="266">
        <v>0</v>
      </c>
    </row>
    <row r="302" spans="1:22" ht="27.95" hidden="1" customHeight="1">
      <c r="A302" s="244" t="s">
        <v>362</v>
      </c>
      <c r="B302" s="244" t="s">
        <v>1002</v>
      </c>
      <c r="C302" s="229" t="s">
        <v>963</v>
      </c>
      <c r="D302" s="260" t="s">
        <v>363</v>
      </c>
      <c r="E302" s="260" t="s">
        <v>970</v>
      </c>
      <c r="F302" s="260" t="s">
        <v>362</v>
      </c>
      <c r="G302" s="260" t="s">
        <v>1040</v>
      </c>
      <c r="H302" s="261" t="s">
        <v>252</v>
      </c>
      <c r="I302" s="230"/>
      <c r="J302" s="262">
        <v>40</v>
      </c>
      <c r="K302" s="263" t="s">
        <v>1042</v>
      </c>
      <c r="L302" s="264">
        <v>35000</v>
      </c>
      <c r="M302" s="265">
        <f>+J302*L302</f>
        <v>1400000</v>
      </c>
      <c r="N302" s="262">
        <v>40</v>
      </c>
      <c r="O302" s="263" t="s">
        <v>1042</v>
      </c>
      <c r="P302" s="264">
        <v>35000</v>
      </c>
      <c r="Q302" s="266">
        <f t="shared" si="56"/>
        <v>1400000</v>
      </c>
      <c r="R302" s="267">
        <f t="shared" si="50"/>
        <v>1</v>
      </c>
      <c r="S302" s="266">
        <f t="shared" si="57"/>
        <v>0</v>
      </c>
      <c r="T302" s="266">
        <f t="shared" si="58"/>
        <v>0</v>
      </c>
      <c r="U302" s="266">
        <f t="shared" si="59"/>
        <v>1400000</v>
      </c>
      <c r="V302" s="266">
        <v>0</v>
      </c>
    </row>
    <row r="303" spans="1:22" ht="27.95" hidden="1" customHeight="1">
      <c r="A303" s="244" t="s">
        <v>362</v>
      </c>
      <c r="B303" s="244" t="s">
        <v>1002</v>
      </c>
      <c r="C303" s="229" t="s">
        <v>963</v>
      </c>
      <c r="D303" s="260" t="s">
        <v>363</v>
      </c>
      <c r="E303" s="260" t="s">
        <v>970</v>
      </c>
      <c r="F303" s="260" t="s">
        <v>362</v>
      </c>
      <c r="G303" s="260">
        <v>99</v>
      </c>
      <c r="H303" s="261" t="s">
        <v>1224</v>
      </c>
      <c r="I303" s="230"/>
      <c r="J303" s="262"/>
      <c r="K303" s="263"/>
      <c r="L303" s="264"/>
      <c r="M303" s="265"/>
      <c r="N303" s="266">
        <v>0</v>
      </c>
      <c r="O303" s="261"/>
      <c r="P303" s="266">
        <v>0</v>
      </c>
      <c r="Q303" s="249"/>
      <c r="R303" s="267" t="str">
        <f t="shared" si="50"/>
        <v/>
      </c>
      <c r="S303" s="249"/>
      <c r="T303" s="249">
        <f>+T304</f>
        <v>0</v>
      </c>
      <c r="U303" s="249">
        <f>+U304</f>
        <v>75000</v>
      </c>
      <c r="V303" s="249">
        <f>+V304</f>
        <v>0</v>
      </c>
    </row>
    <row r="304" spans="1:22" ht="27.95" hidden="1" customHeight="1">
      <c r="A304" s="229"/>
      <c r="B304" s="229"/>
      <c r="C304" s="229"/>
      <c r="D304" s="260"/>
      <c r="E304" s="260"/>
      <c r="F304" s="260"/>
      <c r="G304" s="260"/>
      <c r="H304" s="268" t="s">
        <v>1225</v>
      </c>
      <c r="I304" s="230"/>
      <c r="J304" s="262">
        <v>3</v>
      </c>
      <c r="K304" s="263" t="s">
        <v>1191</v>
      </c>
      <c r="L304" s="264">
        <v>25000</v>
      </c>
      <c r="M304" s="265">
        <f>+J304*L304</f>
        <v>75000</v>
      </c>
      <c r="N304" s="266">
        <v>3</v>
      </c>
      <c r="O304" s="261" t="s">
        <v>1227</v>
      </c>
      <c r="P304" s="266">
        <v>25000</v>
      </c>
      <c r="Q304" s="266">
        <f>+N304*P304</f>
        <v>75000</v>
      </c>
      <c r="R304" s="267">
        <f t="shared" si="50"/>
        <v>1</v>
      </c>
      <c r="S304" s="266">
        <f>+IF(W304="DDS",Q304,0)</f>
        <v>0</v>
      </c>
      <c r="T304" s="266">
        <f>+IF(W304="ADD",Q304,0)</f>
        <v>0</v>
      </c>
      <c r="U304" s="266">
        <f>+IF(W304="DDS",0,IF(W304="ADD",0,Q304))</f>
        <v>75000</v>
      </c>
      <c r="V304" s="266">
        <v>0</v>
      </c>
    </row>
    <row r="305" spans="1:22" ht="33.75" customHeight="1">
      <c r="A305" s="229" t="s">
        <v>362</v>
      </c>
      <c r="B305" s="229" t="s">
        <v>1002</v>
      </c>
      <c r="C305" s="229" t="s">
        <v>995</v>
      </c>
      <c r="D305" s="229"/>
      <c r="E305" s="229"/>
      <c r="F305" s="229"/>
      <c r="G305" s="229" t="s">
        <v>959</v>
      </c>
      <c r="H305" s="238" t="s">
        <v>253</v>
      </c>
      <c r="I305" s="230" t="s">
        <v>1226</v>
      </c>
      <c r="J305" s="239"/>
      <c r="K305" s="240">
        <v>2</v>
      </c>
      <c r="L305" s="241" t="s">
        <v>386</v>
      </c>
      <c r="M305" s="234">
        <f>+M306</f>
        <v>7770000</v>
      </c>
      <c r="N305" s="234"/>
      <c r="O305" s="240">
        <v>2</v>
      </c>
      <c r="P305" s="241" t="s">
        <v>386</v>
      </c>
      <c r="Q305" s="234">
        <f>+Q306</f>
        <v>7770000</v>
      </c>
      <c r="R305" s="236">
        <f>Q305/M305*100%</f>
        <v>1</v>
      </c>
      <c r="S305" s="234">
        <f>+S306</f>
        <v>0</v>
      </c>
      <c r="T305" s="234">
        <f>+T306</f>
        <v>0</v>
      </c>
      <c r="U305" s="234">
        <f>+U306</f>
        <v>5755000</v>
      </c>
      <c r="V305" s="234">
        <f>+V306</f>
        <v>0</v>
      </c>
    </row>
    <row r="306" spans="1:22" ht="27.95" hidden="1" customHeight="1">
      <c r="A306" s="229" t="s">
        <v>362</v>
      </c>
      <c r="B306" s="229" t="s">
        <v>1002</v>
      </c>
      <c r="C306" s="229" t="s">
        <v>995</v>
      </c>
      <c r="D306" s="244" t="s">
        <v>363</v>
      </c>
      <c r="E306" s="244" t="s">
        <v>970</v>
      </c>
      <c r="F306" s="244" t="s">
        <v>959</v>
      </c>
      <c r="G306" s="244" t="s">
        <v>959</v>
      </c>
      <c r="H306" s="245" t="s">
        <v>133</v>
      </c>
      <c r="I306" s="230"/>
      <c r="J306" s="246"/>
      <c r="K306" s="247"/>
      <c r="L306" s="248"/>
      <c r="M306" s="249">
        <f>+M307+M321</f>
        <v>7770000</v>
      </c>
      <c r="N306" s="249"/>
      <c r="O306" s="249">
        <f>+O307+O321</f>
        <v>0</v>
      </c>
      <c r="P306" s="249"/>
      <c r="Q306" s="249">
        <f>+Q307+Q321</f>
        <v>7770000</v>
      </c>
      <c r="R306" s="267" t="str">
        <f t="shared" si="50"/>
        <v/>
      </c>
      <c r="S306" s="249">
        <f>+S307+S321</f>
        <v>0</v>
      </c>
      <c r="T306" s="249">
        <f>+T307+T321</f>
        <v>0</v>
      </c>
      <c r="U306" s="249">
        <f>+U307+U321</f>
        <v>5755000</v>
      </c>
      <c r="V306" s="249">
        <f>+V307+V321</f>
        <v>0</v>
      </c>
    </row>
    <row r="307" spans="1:22" ht="27.95" hidden="1" customHeight="1">
      <c r="A307" s="229" t="s">
        <v>362</v>
      </c>
      <c r="B307" s="229" t="s">
        <v>1002</v>
      </c>
      <c r="C307" s="229" t="s">
        <v>995</v>
      </c>
      <c r="D307" s="252" t="s">
        <v>363</v>
      </c>
      <c r="E307" s="252" t="s">
        <v>970</v>
      </c>
      <c r="F307" s="252" t="s">
        <v>362</v>
      </c>
      <c r="G307" s="252" t="s">
        <v>959</v>
      </c>
      <c r="H307" s="288" t="s">
        <v>134</v>
      </c>
      <c r="I307" s="230"/>
      <c r="J307" s="254"/>
      <c r="K307" s="255"/>
      <c r="L307" s="256"/>
      <c r="M307" s="257">
        <f>+SUM(M308:M320)</f>
        <v>3620000</v>
      </c>
      <c r="N307" s="257"/>
      <c r="O307" s="257">
        <f>+SUM(O308:O320)</f>
        <v>0</v>
      </c>
      <c r="P307" s="257"/>
      <c r="Q307" s="257">
        <f>+SUM(Q308:Q320)</f>
        <v>3620000</v>
      </c>
      <c r="R307" s="267" t="str">
        <f t="shared" si="50"/>
        <v/>
      </c>
      <c r="S307" s="257">
        <f>+SUM(S308:S320)</f>
        <v>0</v>
      </c>
      <c r="T307" s="257">
        <f>+SUM(T308:T320)</f>
        <v>0</v>
      </c>
      <c r="U307" s="257">
        <f>+SUM(U308:U320)</f>
        <v>3680000</v>
      </c>
      <c r="V307" s="257">
        <f>+SUM(V308:V320)</f>
        <v>0</v>
      </c>
    </row>
    <row r="308" spans="1:22" ht="27.95" hidden="1" customHeight="1">
      <c r="A308" s="229" t="s">
        <v>362</v>
      </c>
      <c r="B308" s="229" t="s">
        <v>1002</v>
      </c>
      <c r="C308" s="229" t="s">
        <v>995</v>
      </c>
      <c r="D308" s="260" t="s">
        <v>363</v>
      </c>
      <c r="E308" s="260" t="s">
        <v>970</v>
      </c>
      <c r="F308" s="260" t="s">
        <v>362</v>
      </c>
      <c r="G308" s="260" t="s">
        <v>960</v>
      </c>
      <c r="H308" s="261" t="s">
        <v>1027</v>
      </c>
      <c r="I308" s="230"/>
      <c r="J308" s="262"/>
      <c r="K308" s="263"/>
      <c r="L308" s="264"/>
      <c r="M308" s="265"/>
      <c r="N308" s="266">
        <v>0</v>
      </c>
      <c r="O308" s="261"/>
      <c r="P308" s="266">
        <v>0</v>
      </c>
      <c r="Q308" s="234"/>
      <c r="R308" s="267" t="str">
        <f t="shared" si="50"/>
        <v/>
      </c>
      <c r="S308" s="234"/>
      <c r="T308" s="234">
        <f>+T309</f>
        <v>0</v>
      </c>
      <c r="U308" s="234">
        <f>+U309</f>
        <v>60000</v>
      </c>
      <c r="V308" s="234">
        <f>+V309</f>
        <v>0</v>
      </c>
    </row>
    <row r="309" spans="1:22" ht="27.95" hidden="1" customHeight="1">
      <c r="A309" s="260"/>
      <c r="B309" s="260"/>
      <c r="C309" s="269"/>
      <c r="D309" s="260"/>
      <c r="E309" s="260"/>
      <c r="F309" s="260"/>
      <c r="G309" s="260"/>
      <c r="H309" s="268" t="s">
        <v>1228</v>
      </c>
      <c r="I309" s="230"/>
      <c r="J309" s="262">
        <v>1</v>
      </c>
      <c r="K309" s="263" t="s">
        <v>1029</v>
      </c>
      <c r="L309" s="264">
        <v>60000</v>
      </c>
      <c r="M309" s="265">
        <f>+J309*L309</f>
        <v>60000</v>
      </c>
      <c r="N309" s="262">
        <v>1</v>
      </c>
      <c r="O309" s="263" t="s">
        <v>1029</v>
      </c>
      <c r="P309" s="264">
        <v>60000</v>
      </c>
      <c r="Q309" s="266">
        <f>+N309*P309</f>
        <v>60000</v>
      </c>
      <c r="R309" s="267">
        <f t="shared" si="50"/>
        <v>1</v>
      </c>
      <c r="S309" s="266">
        <f>+IF(W309="DDS",Q309,0)</f>
        <v>0</v>
      </c>
      <c r="T309" s="266">
        <f>+IF(W309="ADD",Q309,0)</f>
        <v>0</v>
      </c>
      <c r="U309" s="266">
        <f>+IF(W309="DDS",0,IF(W309="ADD",0,Q309))</f>
        <v>60000</v>
      </c>
      <c r="V309" s="266">
        <v>0</v>
      </c>
    </row>
    <row r="310" spans="1:22" ht="27.95" hidden="1" customHeight="1">
      <c r="A310" s="229"/>
      <c r="B310" s="229"/>
      <c r="C310" s="270"/>
      <c r="D310" s="260"/>
      <c r="E310" s="260"/>
      <c r="F310" s="260"/>
      <c r="G310" s="260"/>
      <c r="H310" s="268" t="s">
        <v>1229</v>
      </c>
      <c r="I310" s="230"/>
      <c r="J310" s="262">
        <v>1</v>
      </c>
      <c r="K310" s="263" t="s">
        <v>1029</v>
      </c>
      <c r="L310" s="264">
        <v>110000</v>
      </c>
      <c r="M310" s="265">
        <f>+J310*L310</f>
        <v>110000</v>
      </c>
      <c r="N310" s="262">
        <v>1</v>
      </c>
      <c r="O310" s="263" t="s">
        <v>1029</v>
      </c>
      <c r="P310" s="264">
        <v>110000</v>
      </c>
      <c r="Q310" s="266">
        <f>+N310*P310</f>
        <v>110000</v>
      </c>
      <c r="R310" s="267">
        <f>IF(J310="","",Q310/M310)</f>
        <v>1</v>
      </c>
      <c r="S310" s="266">
        <f>+IF(W310="DDS",Q310,0)</f>
        <v>0</v>
      </c>
      <c r="T310" s="266">
        <f>+IF(W310="ADD",Q310,0)</f>
        <v>0</v>
      </c>
      <c r="U310" s="266">
        <f>+IF(W310="DDS",0,IF(W310="ADD",0,Q310))</f>
        <v>110000</v>
      </c>
      <c r="V310" s="266">
        <v>0</v>
      </c>
    </row>
    <row r="311" spans="1:22" ht="27.95" hidden="1" customHeight="1">
      <c r="A311" s="260" t="s">
        <v>362</v>
      </c>
      <c r="B311" s="260" t="s">
        <v>1002</v>
      </c>
      <c r="C311" s="260" t="s">
        <v>995</v>
      </c>
      <c r="D311" s="260" t="s">
        <v>363</v>
      </c>
      <c r="E311" s="260" t="s">
        <v>970</v>
      </c>
      <c r="F311" s="260" t="s">
        <v>362</v>
      </c>
      <c r="G311" s="260" t="s">
        <v>1038</v>
      </c>
      <c r="H311" s="261" t="s">
        <v>1090</v>
      </c>
      <c r="I311" s="230"/>
      <c r="J311" s="262"/>
      <c r="K311" s="263"/>
      <c r="L311" s="264"/>
      <c r="M311" s="265"/>
      <c r="N311" s="266">
        <v>0</v>
      </c>
      <c r="O311" s="261"/>
      <c r="P311" s="266">
        <v>0</v>
      </c>
      <c r="Q311" s="266">
        <f t="shared" si="56"/>
        <v>0</v>
      </c>
      <c r="R311" s="267" t="str">
        <f t="shared" si="50"/>
        <v/>
      </c>
      <c r="S311" s="266">
        <f t="shared" si="57"/>
        <v>0</v>
      </c>
      <c r="T311" s="266">
        <f t="shared" si="58"/>
        <v>0</v>
      </c>
      <c r="U311" s="266">
        <f t="shared" si="59"/>
        <v>0</v>
      </c>
      <c r="V311" s="266">
        <v>0</v>
      </c>
    </row>
    <row r="312" spans="1:22" ht="27.95" hidden="1" customHeight="1">
      <c r="A312" s="260"/>
      <c r="B312" s="260"/>
      <c r="C312" s="260"/>
      <c r="D312" s="260"/>
      <c r="E312" s="260"/>
      <c r="F312" s="260"/>
      <c r="G312" s="260"/>
      <c r="H312" s="268" t="s">
        <v>1230</v>
      </c>
      <c r="I312" s="230"/>
      <c r="J312" s="262">
        <v>1</v>
      </c>
      <c r="K312" s="263" t="s">
        <v>1029</v>
      </c>
      <c r="L312" s="264">
        <v>150000</v>
      </c>
      <c r="M312" s="265">
        <f>+J312*L312</f>
        <v>150000</v>
      </c>
      <c r="N312" s="262">
        <v>1</v>
      </c>
      <c r="O312" s="263" t="s">
        <v>1029</v>
      </c>
      <c r="P312" s="264">
        <v>150000</v>
      </c>
      <c r="Q312" s="266">
        <f t="shared" si="56"/>
        <v>150000</v>
      </c>
      <c r="R312" s="267">
        <f t="shared" si="50"/>
        <v>1</v>
      </c>
      <c r="S312" s="266">
        <f t="shared" si="57"/>
        <v>0</v>
      </c>
      <c r="T312" s="266">
        <f t="shared" si="58"/>
        <v>0</v>
      </c>
      <c r="U312" s="266">
        <f t="shared" si="59"/>
        <v>150000</v>
      </c>
      <c r="V312" s="266">
        <v>0</v>
      </c>
    </row>
    <row r="313" spans="1:22" ht="27.95" hidden="1" customHeight="1">
      <c r="A313" s="260"/>
      <c r="B313" s="260"/>
      <c r="C313" s="269"/>
      <c r="D313" s="260"/>
      <c r="E313" s="260"/>
      <c r="F313" s="260"/>
      <c r="G313" s="260"/>
      <c r="H313" s="268" t="s">
        <v>1231</v>
      </c>
      <c r="I313" s="230"/>
      <c r="J313" s="262">
        <v>1</v>
      </c>
      <c r="K313" s="263" t="s">
        <v>1029</v>
      </c>
      <c r="L313" s="264">
        <v>150000</v>
      </c>
      <c r="M313" s="265">
        <f>+J313*L313</f>
        <v>150000</v>
      </c>
      <c r="N313" s="262">
        <v>1</v>
      </c>
      <c r="O313" s="263" t="s">
        <v>1029</v>
      </c>
      <c r="P313" s="264">
        <v>150000</v>
      </c>
      <c r="Q313" s="266">
        <f t="shared" si="56"/>
        <v>150000</v>
      </c>
      <c r="R313" s="267">
        <f t="shared" si="50"/>
        <v>1</v>
      </c>
      <c r="S313" s="266">
        <f t="shared" si="57"/>
        <v>0</v>
      </c>
      <c r="T313" s="266">
        <f t="shared" si="58"/>
        <v>0</v>
      </c>
      <c r="U313" s="266">
        <f t="shared" si="59"/>
        <v>150000</v>
      </c>
      <c r="V313" s="266">
        <v>0</v>
      </c>
    </row>
    <row r="314" spans="1:22" ht="27.95" hidden="1" customHeight="1">
      <c r="A314" s="260" t="s">
        <v>362</v>
      </c>
      <c r="B314" s="260" t="s">
        <v>1002</v>
      </c>
      <c r="C314" s="260" t="s">
        <v>995</v>
      </c>
      <c r="D314" s="260" t="s">
        <v>363</v>
      </c>
      <c r="E314" s="260" t="s">
        <v>970</v>
      </c>
      <c r="F314" s="260" t="s">
        <v>362</v>
      </c>
      <c r="G314" s="260" t="s">
        <v>1040</v>
      </c>
      <c r="H314" s="261" t="s">
        <v>252</v>
      </c>
      <c r="I314" s="230"/>
      <c r="J314" s="262"/>
      <c r="K314" s="263"/>
      <c r="L314" s="264"/>
      <c r="M314" s="265"/>
      <c r="N314" s="266">
        <v>0</v>
      </c>
      <c r="O314" s="261"/>
      <c r="P314" s="266">
        <v>0</v>
      </c>
      <c r="Q314" s="266">
        <f t="shared" si="56"/>
        <v>0</v>
      </c>
      <c r="R314" s="267" t="str">
        <f t="shared" si="50"/>
        <v/>
      </c>
      <c r="S314" s="266">
        <f t="shared" si="57"/>
        <v>0</v>
      </c>
      <c r="T314" s="266">
        <f t="shared" si="58"/>
        <v>0</v>
      </c>
      <c r="U314" s="266">
        <f t="shared" si="59"/>
        <v>0</v>
      </c>
      <c r="V314" s="266">
        <v>0</v>
      </c>
    </row>
    <row r="315" spans="1:22" ht="27.95" hidden="1" customHeight="1">
      <c r="A315" s="260"/>
      <c r="B315" s="260"/>
      <c r="C315" s="269"/>
      <c r="D315" s="260"/>
      <c r="E315" s="260"/>
      <c r="F315" s="260"/>
      <c r="G315" s="260"/>
      <c r="H315" s="268" t="s">
        <v>1232</v>
      </c>
      <c r="I315" s="230"/>
      <c r="J315" s="262">
        <v>11</v>
      </c>
      <c r="K315" s="263" t="s">
        <v>1042</v>
      </c>
      <c r="L315" s="264">
        <v>10000</v>
      </c>
      <c r="M315" s="265">
        <f>+J315*L315</f>
        <v>110000</v>
      </c>
      <c r="N315" s="262">
        <v>11</v>
      </c>
      <c r="O315" s="263" t="s">
        <v>1042</v>
      </c>
      <c r="P315" s="264">
        <v>10000</v>
      </c>
      <c r="Q315" s="266">
        <f t="shared" si="56"/>
        <v>110000</v>
      </c>
      <c r="R315" s="267">
        <f t="shared" si="50"/>
        <v>1</v>
      </c>
      <c r="S315" s="266">
        <f t="shared" si="57"/>
        <v>0</v>
      </c>
      <c r="T315" s="266">
        <f t="shared" si="58"/>
        <v>0</v>
      </c>
      <c r="U315" s="266">
        <f t="shared" si="59"/>
        <v>110000</v>
      </c>
      <c r="V315" s="266">
        <v>0</v>
      </c>
    </row>
    <row r="316" spans="1:22" ht="27.95" hidden="1" customHeight="1">
      <c r="A316" s="252"/>
      <c r="B316" s="252"/>
      <c r="C316" s="252"/>
      <c r="D316" s="260"/>
      <c r="E316" s="260"/>
      <c r="F316" s="260"/>
      <c r="G316" s="260"/>
      <c r="H316" s="268" t="s">
        <v>1233</v>
      </c>
      <c r="I316" s="230"/>
      <c r="J316" s="262">
        <v>27</v>
      </c>
      <c r="K316" s="263" t="s">
        <v>1042</v>
      </c>
      <c r="L316" s="264">
        <v>35000</v>
      </c>
      <c r="M316" s="265">
        <f>+J316*L316</f>
        <v>945000</v>
      </c>
      <c r="N316" s="262">
        <v>27</v>
      </c>
      <c r="O316" s="263" t="s">
        <v>1042</v>
      </c>
      <c r="P316" s="264">
        <v>35000</v>
      </c>
      <c r="Q316" s="266">
        <f t="shared" si="56"/>
        <v>945000</v>
      </c>
      <c r="R316" s="267">
        <f t="shared" si="50"/>
        <v>1</v>
      </c>
      <c r="S316" s="266">
        <f t="shared" si="57"/>
        <v>0</v>
      </c>
      <c r="T316" s="266">
        <f t="shared" si="58"/>
        <v>0</v>
      </c>
      <c r="U316" s="266">
        <f t="shared" si="59"/>
        <v>945000</v>
      </c>
      <c r="V316" s="266">
        <v>0</v>
      </c>
    </row>
    <row r="317" spans="1:22" ht="27.95" hidden="1" customHeight="1">
      <c r="A317" s="260"/>
      <c r="B317" s="260"/>
      <c r="C317" s="260"/>
      <c r="D317" s="260"/>
      <c r="E317" s="260"/>
      <c r="F317" s="260"/>
      <c r="G317" s="260"/>
      <c r="H317" s="268" t="s">
        <v>1234</v>
      </c>
      <c r="I317" s="230"/>
      <c r="J317" s="262">
        <v>27</v>
      </c>
      <c r="K317" s="263" t="s">
        <v>1042</v>
      </c>
      <c r="L317" s="264">
        <v>10000</v>
      </c>
      <c r="M317" s="265">
        <f>+J317*L317</f>
        <v>270000</v>
      </c>
      <c r="N317" s="262">
        <v>27</v>
      </c>
      <c r="O317" s="263" t="s">
        <v>1042</v>
      </c>
      <c r="P317" s="264">
        <v>10000</v>
      </c>
      <c r="Q317" s="266">
        <f t="shared" si="56"/>
        <v>270000</v>
      </c>
      <c r="R317" s="267">
        <f t="shared" si="50"/>
        <v>1</v>
      </c>
      <c r="S317" s="266">
        <f t="shared" si="57"/>
        <v>0</v>
      </c>
      <c r="T317" s="266">
        <f t="shared" si="58"/>
        <v>0</v>
      </c>
      <c r="U317" s="266">
        <f t="shared" si="59"/>
        <v>270000</v>
      </c>
      <c r="V317" s="266">
        <v>0</v>
      </c>
    </row>
    <row r="318" spans="1:22" ht="27.95" hidden="1" customHeight="1">
      <c r="A318" s="229"/>
      <c r="B318" s="229"/>
      <c r="C318" s="270"/>
      <c r="D318" s="260"/>
      <c r="E318" s="260"/>
      <c r="F318" s="260"/>
      <c r="G318" s="260"/>
      <c r="H318" s="268" t="s">
        <v>1235</v>
      </c>
      <c r="I318" s="238"/>
      <c r="J318" s="262">
        <v>50</v>
      </c>
      <c r="K318" s="263" t="s">
        <v>1042</v>
      </c>
      <c r="L318" s="264">
        <v>35000</v>
      </c>
      <c r="M318" s="265">
        <f>+J318*L318</f>
        <v>1750000</v>
      </c>
      <c r="N318" s="262">
        <v>50</v>
      </c>
      <c r="O318" s="263" t="s">
        <v>1042</v>
      </c>
      <c r="P318" s="264">
        <v>35000</v>
      </c>
      <c r="Q318" s="266">
        <f t="shared" si="56"/>
        <v>1750000</v>
      </c>
      <c r="R318" s="267">
        <f t="shared" ref="R318:R398" si="63">IF(J318="","",Q318/M318)</f>
        <v>1</v>
      </c>
      <c r="S318" s="266">
        <f>+IF(W318="DDS",Q318,0)</f>
        <v>0</v>
      </c>
      <c r="T318" s="266">
        <f t="shared" si="58"/>
        <v>0</v>
      </c>
      <c r="U318" s="266">
        <f t="shared" si="59"/>
        <v>1750000</v>
      </c>
      <c r="V318" s="266">
        <v>0</v>
      </c>
    </row>
    <row r="319" spans="1:22" ht="27.95" hidden="1" customHeight="1">
      <c r="A319" s="260" t="s">
        <v>362</v>
      </c>
      <c r="B319" s="260" t="s">
        <v>1002</v>
      </c>
      <c r="C319" s="269" t="s">
        <v>995</v>
      </c>
      <c r="D319" s="260" t="s">
        <v>363</v>
      </c>
      <c r="E319" s="260" t="s">
        <v>970</v>
      </c>
      <c r="F319" s="260" t="s">
        <v>362</v>
      </c>
      <c r="G319" s="260">
        <v>99</v>
      </c>
      <c r="H319" s="261" t="s">
        <v>1224</v>
      </c>
      <c r="I319" s="230"/>
      <c r="J319" s="262"/>
      <c r="K319" s="263"/>
      <c r="L319" s="264"/>
      <c r="M319" s="265"/>
      <c r="N319" s="266">
        <v>0</v>
      </c>
      <c r="O319" s="261"/>
      <c r="P319" s="266">
        <v>0</v>
      </c>
      <c r="Q319" s="266">
        <f t="shared" si="56"/>
        <v>0</v>
      </c>
      <c r="R319" s="267" t="str">
        <f t="shared" si="63"/>
        <v/>
      </c>
      <c r="S319" s="266">
        <f t="shared" si="57"/>
        <v>0</v>
      </c>
      <c r="T319" s="266">
        <f t="shared" si="58"/>
        <v>0</v>
      </c>
      <c r="U319" s="266">
        <f t="shared" si="59"/>
        <v>0</v>
      </c>
      <c r="V319" s="266">
        <v>0</v>
      </c>
    </row>
    <row r="320" spans="1:22" ht="27.95" hidden="1" customHeight="1">
      <c r="A320" s="260"/>
      <c r="B320" s="260"/>
      <c r="C320" s="260"/>
      <c r="D320" s="260"/>
      <c r="E320" s="260"/>
      <c r="F320" s="260"/>
      <c r="G320" s="260"/>
      <c r="H320" s="268" t="s">
        <v>1225</v>
      </c>
      <c r="I320" s="230"/>
      <c r="J320" s="262">
        <v>3</v>
      </c>
      <c r="K320" s="263" t="s">
        <v>1191</v>
      </c>
      <c r="L320" s="264">
        <v>25000</v>
      </c>
      <c r="M320" s="265">
        <f>+J320*L320</f>
        <v>75000</v>
      </c>
      <c r="N320" s="262">
        <v>3</v>
      </c>
      <c r="O320" s="263" t="s">
        <v>1191</v>
      </c>
      <c r="P320" s="264">
        <v>25000</v>
      </c>
      <c r="Q320" s="266">
        <f t="shared" si="56"/>
        <v>75000</v>
      </c>
      <c r="R320" s="267">
        <f t="shared" si="63"/>
        <v>1</v>
      </c>
      <c r="S320" s="266">
        <f t="shared" si="57"/>
        <v>0</v>
      </c>
      <c r="T320" s="266">
        <f t="shared" si="58"/>
        <v>0</v>
      </c>
      <c r="U320" s="266">
        <f t="shared" si="59"/>
        <v>75000</v>
      </c>
      <c r="V320" s="266">
        <v>0</v>
      </c>
    </row>
    <row r="321" spans="1:22" ht="27.95" hidden="1" customHeight="1">
      <c r="A321" s="229" t="s">
        <v>362</v>
      </c>
      <c r="B321" s="229" t="s">
        <v>1002</v>
      </c>
      <c r="C321" s="270" t="s">
        <v>995</v>
      </c>
      <c r="D321" s="252" t="s">
        <v>363</v>
      </c>
      <c r="E321" s="252" t="s">
        <v>970</v>
      </c>
      <c r="F321" s="252" t="s">
        <v>970</v>
      </c>
      <c r="G321" s="252" t="s">
        <v>959</v>
      </c>
      <c r="H321" s="253" t="s">
        <v>135</v>
      </c>
      <c r="I321" s="230"/>
      <c r="J321" s="254"/>
      <c r="K321" s="255"/>
      <c r="L321" s="256"/>
      <c r="M321" s="257">
        <f>+SUM(M322:M323)</f>
        <v>4150000</v>
      </c>
      <c r="N321" s="266">
        <v>0</v>
      </c>
      <c r="O321" s="261"/>
      <c r="P321" s="266">
        <v>0</v>
      </c>
      <c r="Q321" s="257">
        <f>+SUM(Q322:Q323)</f>
        <v>4150000</v>
      </c>
      <c r="R321" s="267" t="str">
        <f t="shared" si="63"/>
        <v/>
      </c>
      <c r="S321" s="257">
        <f>+SUM(S322:S323)</f>
        <v>0</v>
      </c>
      <c r="T321" s="257">
        <f>+SUM(T323:T323)</f>
        <v>0</v>
      </c>
      <c r="U321" s="257">
        <f>+SUM(U323:U323)</f>
        <v>2075000</v>
      </c>
      <c r="V321" s="257">
        <f>+SUM(V323:V323)</f>
        <v>0</v>
      </c>
    </row>
    <row r="322" spans="1:22" ht="27.95" hidden="1" customHeight="1">
      <c r="A322" s="260" t="s">
        <v>362</v>
      </c>
      <c r="B322" s="260" t="s">
        <v>1002</v>
      </c>
      <c r="C322" s="269" t="s">
        <v>995</v>
      </c>
      <c r="D322" s="260" t="s">
        <v>363</v>
      </c>
      <c r="E322" s="260" t="s">
        <v>970</v>
      </c>
      <c r="F322" s="260" t="s">
        <v>970</v>
      </c>
      <c r="G322" s="260" t="s">
        <v>960</v>
      </c>
      <c r="H322" s="261" t="s">
        <v>1236</v>
      </c>
      <c r="I322" s="230"/>
      <c r="J322" s="262">
        <v>1</v>
      </c>
      <c r="K322" s="263" t="s">
        <v>967</v>
      </c>
      <c r="L322" s="264">
        <v>2075000</v>
      </c>
      <c r="M322" s="265">
        <f>+J322*L322</f>
        <v>2075000</v>
      </c>
      <c r="N322" s="262">
        <v>1</v>
      </c>
      <c r="O322" s="263" t="s">
        <v>967</v>
      </c>
      <c r="P322" s="264">
        <v>2075000</v>
      </c>
      <c r="Q322" s="266">
        <f>+N322*P322</f>
        <v>2075000</v>
      </c>
      <c r="R322" s="267">
        <f>IF(J322="","",Q322/M322)</f>
        <v>1</v>
      </c>
      <c r="S322" s="266">
        <f>+IF(W322="DDS",Q322,0)</f>
        <v>0</v>
      </c>
      <c r="T322" s="266">
        <f>+IF(W322="ADD",Q322,0)</f>
        <v>0</v>
      </c>
      <c r="U322" s="266">
        <f>+IF(W322="DDS",0,IF(W322="ADD",0,Q322))</f>
        <v>2075000</v>
      </c>
      <c r="V322" s="266">
        <v>0</v>
      </c>
    </row>
    <row r="323" spans="1:22" ht="16.5" hidden="1" customHeight="1">
      <c r="A323" s="260" t="s">
        <v>362</v>
      </c>
      <c r="B323" s="260" t="s">
        <v>1002</v>
      </c>
      <c r="C323" s="269" t="s">
        <v>995</v>
      </c>
      <c r="D323" s="260" t="s">
        <v>363</v>
      </c>
      <c r="E323" s="260" t="s">
        <v>970</v>
      </c>
      <c r="F323" s="260" t="s">
        <v>970</v>
      </c>
      <c r="G323" s="260" t="s">
        <v>960</v>
      </c>
      <c r="H323" s="261" t="s">
        <v>1236</v>
      </c>
      <c r="I323" s="230"/>
      <c r="J323" s="262">
        <v>1</v>
      </c>
      <c r="K323" s="263" t="s">
        <v>967</v>
      </c>
      <c r="L323" s="264">
        <v>2075000</v>
      </c>
      <c r="M323" s="265">
        <f>+J323*L323</f>
        <v>2075000</v>
      </c>
      <c r="N323" s="262">
        <v>1</v>
      </c>
      <c r="O323" s="263" t="s">
        <v>967</v>
      </c>
      <c r="P323" s="264">
        <v>2075000</v>
      </c>
      <c r="Q323" s="266">
        <f>+N323*P323</f>
        <v>2075000</v>
      </c>
      <c r="R323" s="267">
        <f t="shared" si="63"/>
        <v>1</v>
      </c>
      <c r="S323" s="266">
        <f>+IF(W323="DDS",Q323,0)</f>
        <v>0</v>
      </c>
      <c r="T323" s="266">
        <f>+IF(W323="ADD",Q323,0)</f>
        <v>0</v>
      </c>
      <c r="U323" s="266">
        <f>+IF(W323="DDS",0,IF(W323="ADD",0,Q323))</f>
        <v>2075000</v>
      </c>
      <c r="V323" s="266">
        <v>0</v>
      </c>
    </row>
    <row r="324" spans="1:22" ht="27.95" customHeight="1">
      <c r="A324" s="229" t="s">
        <v>362</v>
      </c>
      <c r="B324" s="229" t="s">
        <v>1002</v>
      </c>
      <c r="C324" s="229" t="s">
        <v>1002</v>
      </c>
      <c r="D324" s="229"/>
      <c r="E324" s="229"/>
      <c r="F324" s="229"/>
      <c r="G324" s="229" t="s">
        <v>959</v>
      </c>
      <c r="H324" s="238" t="s">
        <v>1237</v>
      </c>
      <c r="I324" s="230" t="s">
        <v>1238</v>
      </c>
      <c r="J324" s="239"/>
      <c r="K324" s="240">
        <v>4</v>
      </c>
      <c r="L324" s="241" t="s">
        <v>386</v>
      </c>
      <c r="M324" s="234">
        <f>+M325</f>
        <v>5140000</v>
      </c>
      <c r="N324" s="266">
        <v>0</v>
      </c>
      <c r="O324" s="240">
        <v>4</v>
      </c>
      <c r="P324" s="241" t="s">
        <v>386</v>
      </c>
      <c r="Q324" s="234">
        <f>+Q325</f>
        <v>3515000</v>
      </c>
      <c r="R324" s="236">
        <f>Q324/M324*100%</f>
        <v>0.68385214007782102</v>
      </c>
      <c r="S324" s="234">
        <f t="shared" ref="S324:V325" si="64">+S325</f>
        <v>0</v>
      </c>
      <c r="T324" s="234">
        <f t="shared" si="64"/>
        <v>0</v>
      </c>
      <c r="U324" s="234">
        <f t="shared" si="64"/>
        <v>3515000</v>
      </c>
      <c r="V324" s="234">
        <f t="shared" si="64"/>
        <v>0</v>
      </c>
    </row>
    <row r="325" spans="1:22" ht="27.95" hidden="1" customHeight="1">
      <c r="A325" s="260" t="s">
        <v>362</v>
      </c>
      <c r="B325" s="260" t="s">
        <v>1002</v>
      </c>
      <c r="C325" s="260" t="s">
        <v>1002</v>
      </c>
      <c r="D325" s="244" t="s">
        <v>363</v>
      </c>
      <c r="E325" s="244" t="s">
        <v>970</v>
      </c>
      <c r="F325" s="244" t="s">
        <v>959</v>
      </c>
      <c r="G325" s="244" t="s">
        <v>959</v>
      </c>
      <c r="H325" s="245" t="s">
        <v>1026</v>
      </c>
      <c r="I325" s="230"/>
      <c r="J325" s="246"/>
      <c r="K325" s="247"/>
      <c r="L325" s="248"/>
      <c r="M325" s="249">
        <f>+M326</f>
        <v>5140000</v>
      </c>
      <c r="N325" s="266">
        <v>0</v>
      </c>
      <c r="O325" s="261"/>
      <c r="P325" s="266">
        <v>0</v>
      </c>
      <c r="Q325" s="249">
        <f>+Q326</f>
        <v>3515000</v>
      </c>
      <c r="R325" s="267" t="str">
        <f t="shared" si="63"/>
        <v/>
      </c>
      <c r="S325" s="249">
        <f t="shared" si="64"/>
        <v>0</v>
      </c>
      <c r="T325" s="249">
        <f t="shared" si="64"/>
        <v>0</v>
      </c>
      <c r="U325" s="249">
        <f t="shared" si="64"/>
        <v>3515000</v>
      </c>
      <c r="V325" s="249">
        <f t="shared" si="64"/>
        <v>0</v>
      </c>
    </row>
    <row r="326" spans="1:22" ht="27.95" hidden="1" customHeight="1">
      <c r="A326" s="229" t="s">
        <v>362</v>
      </c>
      <c r="B326" s="229" t="s">
        <v>1002</v>
      </c>
      <c r="C326" s="229" t="s">
        <v>1002</v>
      </c>
      <c r="D326" s="252" t="s">
        <v>363</v>
      </c>
      <c r="E326" s="252" t="s">
        <v>970</v>
      </c>
      <c r="F326" s="252" t="s">
        <v>362</v>
      </c>
      <c r="G326" s="252" t="s">
        <v>959</v>
      </c>
      <c r="H326" s="253" t="s">
        <v>134</v>
      </c>
      <c r="I326" s="230"/>
      <c r="J326" s="254"/>
      <c r="K326" s="255"/>
      <c r="L326" s="256"/>
      <c r="M326" s="257">
        <f>+SUM(M327:M345)</f>
        <v>5140000</v>
      </c>
      <c r="N326" s="266">
        <v>0</v>
      </c>
      <c r="O326" s="261"/>
      <c r="P326" s="266">
        <v>0</v>
      </c>
      <c r="Q326" s="257">
        <f>+SUM(Q327:Q345)</f>
        <v>3515000</v>
      </c>
      <c r="R326" s="267" t="str">
        <f t="shared" si="63"/>
        <v/>
      </c>
      <c r="S326" s="257">
        <f>+SUM(S327:S345)</f>
        <v>0</v>
      </c>
      <c r="T326" s="257">
        <f>+SUM(T327:T345)</f>
        <v>0</v>
      </c>
      <c r="U326" s="257">
        <f>+SUM(U327:U345)</f>
        <v>3515000</v>
      </c>
      <c r="V326" s="257">
        <f>+SUM(V327:V345)</f>
        <v>0</v>
      </c>
    </row>
    <row r="327" spans="1:22" ht="27.95" hidden="1" customHeight="1">
      <c r="A327" s="260" t="s">
        <v>362</v>
      </c>
      <c r="B327" s="260" t="s">
        <v>1002</v>
      </c>
      <c r="C327" s="260" t="s">
        <v>1002</v>
      </c>
      <c r="D327" s="260" t="s">
        <v>363</v>
      </c>
      <c r="E327" s="260" t="s">
        <v>970</v>
      </c>
      <c r="F327" s="260" t="s">
        <v>362</v>
      </c>
      <c r="G327" s="260" t="s">
        <v>960</v>
      </c>
      <c r="H327" s="261" t="s">
        <v>1027</v>
      </c>
      <c r="I327" s="230"/>
      <c r="J327" s="262"/>
      <c r="K327" s="263"/>
      <c r="L327" s="264"/>
      <c r="M327" s="265"/>
      <c r="N327" s="266">
        <v>0</v>
      </c>
      <c r="O327" s="261"/>
      <c r="P327" s="266">
        <v>0</v>
      </c>
      <c r="Q327" s="266">
        <f t="shared" si="56"/>
        <v>0</v>
      </c>
      <c r="R327" s="267" t="str">
        <f t="shared" si="63"/>
        <v/>
      </c>
      <c r="S327" s="266">
        <f t="shared" si="57"/>
        <v>0</v>
      </c>
      <c r="T327" s="266">
        <f t="shared" si="58"/>
        <v>0</v>
      </c>
      <c r="U327" s="266">
        <f t="shared" si="59"/>
        <v>0</v>
      </c>
      <c r="V327" s="266">
        <v>0</v>
      </c>
    </row>
    <row r="328" spans="1:22" ht="27.95" hidden="1" customHeight="1">
      <c r="A328" s="260"/>
      <c r="B328" s="260"/>
      <c r="C328" s="260"/>
      <c r="D328" s="260"/>
      <c r="E328" s="260"/>
      <c r="F328" s="260"/>
      <c r="G328" s="260"/>
      <c r="H328" s="268" t="s">
        <v>1239</v>
      </c>
      <c r="I328" s="230"/>
      <c r="J328" s="262">
        <v>1</v>
      </c>
      <c r="K328" s="263" t="s">
        <v>1029</v>
      </c>
      <c r="L328" s="264">
        <v>60000</v>
      </c>
      <c r="M328" s="265">
        <f>+J328*L328</f>
        <v>60000</v>
      </c>
      <c r="N328" s="266">
        <v>1</v>
      </c>
      <c r="O328" s="261" t="s">
        <v>1029</v>
      </c>
      <c r="P328" s="266">
        <v>60000</v>
      </c>
      <c r="Q328" s="266">
        <f t="shared" si="56"/>
        <v>60000</v>
      </c>
      <c r="R328" s="267">
        <f t="shared" si="63"/>
        <v>1</v>
      </c>
      <c r="S328" s="266">
        <f t="shared" si="57"/>
        <v>0</v>
      </c>
      <c r="T328" s="266">
        <f t="shared" si="58"/>
        <v>0</v>
      </c>
      <c r="U328" s="266">
        <f t="shared" si="59"/>
        <v>60000</v>
      </c>
      <c r="V328" s="266">
        <v>0</v>
      </c>
    </row>
    <row r="329" spans="1:22" ht="27.95" hidden="1" customHeight="1">
      <c r="A329" s="260"/>
      <c r="B329" s="260"/>
      <c r="C329" s="260"/>
      <c r="D329" s="260"/>
      <c r="E329" s="260"/>
      <c r="F329" s="260"/>
      <c r="G329" s="260"/>
      <c r="H329" s="268" t="s">
        <v>1240</v>
      </c>
      <c r="I329" s="230"/>
      <c r="J329" s="262">
        <v>1</v>
      </c>
      <c r="K329" s="263" t="s">
        <v>1029</v>
      </c>
      <c r="L329" s="264">
        <v>60000</v>
      </c>
      <c r="M329" s="265">
        <f>+J329*L329</f>
        <v>60000</v>
      </c>
      <c r="N329" s="266">
        <v>0</v>
      </c>
      <c r="O329" s="261"/>
      <c r="P329" s="266">
        <v>0</v>
      </c>
      <c r="Q329" s="266">
        <f t="shared" si="56"/>
        <v>0</v>
      </c>
      <c r="R329" s="267">
        <f t="shared" si="63"/>
        <v>0</v>
      </c>
      <c r="S329" s="266">
        <f t="shared" si="57"/>
        <v>0</v>
      </c>
      <c r="T329" s="266">
        <f t="shared" si="58"/>
        <v>0</v>
      </c>
      <c r="U329" s="266">
        <f t="shared" si="59"/>
        <v>0</v>
      </c>
      <c r="V329" s="266">
        <v>0</v>
      </c>
    </row>
    <row r="330" spans="1:22" ht="27.95" hidden="1" customHeight="1">
      <c r="A330" s="260"/>
      <c r="B330" s="260"/>
      <c r="C330" s="260"/>
      <c r="D330" s="260"/>
      <c r="E330" s="260"/>
      <c r="F330" s="260"/>
      <c r="G330" s="260"/>
      <c r="H330" s="268" t="s">
        <v>1241</v>
      </c>
      <c r="I330" s="230"/>
      <c r="J330" s="262">
        <v>1</v>
      </c>
      <c r="K330" s="263" t="s">
        <v>1029</v>
      </c>
      <c r="L330" s="264">
        <v>60000</v>
      </c>
      <c r="M330" s="265">
        <f>+J330*L330</f>
        <v>60000</v>
      </c>
      <c r="N330" s="262">
        <v>1</v>
      </c>
      <c r="O330" s="263" t="s">
        <v>1029</v>
      </c>
      <c r="P330" s="264">
        <v>60000</v>
      </c>
      <c r="Q330" s="266">
        <f t="shared" si="56"/>
        <v>60000</v>
      </c>
      <c r="R330" s="267">
        <f t="shared" si="63"/>
        <v>1</v>
      </c>
      <c r="S330" s="266">
        <f t="shared" si="57"/>
        <v>0</v>
      </c>
      <c r="T330" s="266">
        <f t="shared" si="58"/>
        <v>0</v>
      </c>
      <c r="U330" s="266">
        <f t="shared" si="59"/>
        <v>60000</v>
      </c>
      <c r="V330" s="266">
        <v>0</v>
      </c>
    </row>
    <row r="331" spans="1:22" ht="27.95" hidden="1" customHeight="1">
      <c r="A331" s="260"/>
      <c r="B331" s="260"/>
      <c r="C331" s="260"/>
      <c r="D331" s="260"/>
      <c r="E331" s="260"/>
      <c r="F331" s="260"/>
      <c r="G331" s="260"/>
      <c r="H331" s="268" t="s">
        <v>1242</v>
      </c>
      <c r="I331" s="230"/>
      <c r="J331" s="262">
        <v>1</v>
      </c>
      <c r="K331" s="263" t="s">
        <v>1029</v>
      </c>
      <c r="L331" s="264">
        <v>60000</v>
      </c>
      <c r="M331" s="265">
        <f>+J331*L331</f>
        <v>60000</v>
      </c>
      <c r="N331" s="266">
        <v>0</v>
      </c>
      <c r="O331" s="261"/>
      <c r="P331" s="266">
        <v>0</v>
      </c>
      <c r="Q331" s="266">
        <f t="shared" si="56"/>
        <v>0</v>
      </c>
      <c r="R331" s="267">
        <f t="shared" si="63"/>
        <v>0</v>
      </c>
      <c r="S331" s="266">
        <f t="shared" si="57"/>
        <v>0</v>
      </c>
      <c r="T331" s="266">
        <f t="shared" si="58"/>
        <v>0</v>
      </c>
      <c r="U331" s="266">
        <f t="shared" si="59"/>
        <v>0</v>
      </c>
      <c r="V331" s="266">
        <v>0</v>
      </c>
    </row>
    <row r="332" spans="1:22" ht="27.95" hidden="1" customHeight="1">
      <c r="A332" s="260" t="s">
        <v>362</v>
      </c>
      <c r="B332" s="260" t="s">
        <v>1002</v>
      </c>
      <c r="C332" s="260" t="s">
        <v>1002</v>
      </c>
      <c r="D332" s="260" t="s">
        <v>363</v>
      </c>
      <c r="E332" s="260" t="s">
        <v>970</v>
      </c>
      <c r="F332" s="260" t="s">
        <v>362</v>
      </c>
      <c r="G332" s="260" t="s">
        <v>1038</v>
      </c>
      <c r="H332" s="261" t="s">
        <v>1090</v>
      </c>
      <c r="I332" s="230"/>
      <c r="J332" s="262"/>
      <c r="K332" s="263"/>
      <c r="L332" s="264"/>
      <c r="M332" s="265"/>
      <c r="N332" s="266">
        <v>0</v>
      </c>
      <c r="O332" s="261"/>
      <c r="P332" s="266">
        <v>0</v>
      </c>
      <c r="Q332" s="266">
        <f t="shared" si="56"/>
        <v>0</v>
      </c>
      <c r="R332" s="267" t="str">
        <f t="shared" si="63"/>
        <v/>
      </c>
      <c r="S332" s="266">
        <f t="shared" si="57"/>
        <v>0</v>
      </c>
      <c r="T332" s="266">
        <f t="shared" si="58"/>
        <v>0</v>
      </c>
      <c r="U332" s="266">
        <f t="shared" si="59"/>
        <v>0</v>
      </c>
      <c r="V332" s="266">
        <v>0</v>
      </c>
    </row>
    <row r="333" spans="1:22" ht="27.95" hidden="1" customHeight="1">
      <c r="A333" s="260"/>
      <c r="B333" s="260"/>
      <c r="C333" s="260"/>
      <c r="D333" s="260"/>
      <c r="E333" s="260"/>
      <c r="F333" s="260"/>
      <c r="G333" s="260"/>
      <c r="H333" s="268" t="s">
        <v>1243</v>
      </c>
      <c r="I333" s="230"/>
      <c r="J333" s="262">
        <v>1</v>
      </c>
      <c r="K333" s="263" t="s">
        <v>1029</v>
      </c>
      <c r="L333" s="264">
        <v>100000</v>
      </c>
      <c r="M333" s="265">
        <f>+J333*L333</f>
        <v>100000</v>
      </c>
      <c r="N333" s="266">
        <v>1</v>
      </c>
      <c r="O333" s="261" t="s">
        <v>1029</v>
      </c>
      <c r="P333" s="266">
        <v>100000</v>
      </c>
      <c r="Q333" s="266">
        <f t="shared" si="56"/>
        <v>100000</v>
      </c>
      <c r="R333" s="267">
        <f t="shared" si="63"/>
        <v>1</v>
      </c>
      <c r="S333" s="266">
        <f t="shared" si="57"/>
        <v>0</v>
      </c>
      <c r="T333" s="266">
        <f t="shared" si="58"/>
        <v>0</v>
      </c>
      <c r="U333" s="266">
        <f t="shared" si="59"/>
        <v>100000</v>
      </c>
      <c r="V333" s="266">
        <v>0</v>
      </c>
    </row>
    <row r="334" spans="1:22" ht="27.95" hidden="1" customHeight="1">
      <c r="A334" s="260"/>
      <c r="B334" s="260"/>
      <c r="C334" s="260"/>
      <c r="D334" s="260"/>
      <c r="E334" s="260"/>
      <c r="F334" s="260"/>
      <c r="G334" s="260"/>
      <c r="H334" s="268" t="s">
        <v>1244</v>
      </c>
      <c r="I334" s="230"/>
      <c r="J334" s="262">
        <v>1</v>
      </c>
      <c r="K334" s="263" t="s">
        <v>1029</v>
      </c>
      <c r="L334" s="264">
        <v>100000</v>
      </c>
      <c r="M334" s="265">
        <f>+J334*L334</f>
        <v>100000</v>
      </c>
      <c r="N334" s="266">
        <v>0</v>
      </c>
      <c r="O334" s="261"/>
      <c r="P334" s="266">
        <v>0</v>
      </c>
      <c r="Q334" s="266">
        <f t="shared" si="56"/>
        <v>0</v>
      </c>
      <c r="R334" s="267">
        <f t="shared" si="63"/>
        <v>0</v>
      </c>
      <c r="S334" s="266">
        <f t="shared" si="57"/>
        <v>0</v>
      </c>
      <c r="T334" s="266">
        <f t="shared" si="58"/>
        <v>0</v>
      </c>
      <c r="U334" s="266">
        <f t="shared" si="59"/>
        <v>0</v>
      </c>
      <c r="V334" s="266">
        <v>0</v>
      </c>
    </row>
    <row r="335" spans="1:22" ht="27.95" hidden="1" customHeight="1">
      <c r="A335" s="260"/>
      <c r="B335" s="260"/>
      <c r="C335" s="260"/>
      <c r="D335" s="260"/>
      <c r="E335" s="260"/>
      <c r="F335" s="260"/>
      <c r="G335" s="260"/>
      <c r="H335" s="268" t="s">
        <v>1245</v>
      </c>
      <c r="I335" s="230"/>
      <c r="J335" s="262">
        <v>1</v>
      </c>
      <c r="K335" s="263" t="s">
        <v>1029</v>
      </c>
      <c r="L335" s="264">
        <v>100000</v>
      </c>
      <c r="M335" s="265">
        <f>+J335*L335</f>
        <v>100000</v>
      </c>
      <c r="N335" s="262">
        <v>1</v>
      </c>
      <c r="O335" s="263" t="s">
        <v>1029</v>
      </c>
      <c r="P335" s="264">
        <v>100000</v>
      </c>
      <c r="Q335" s="266">
        <f t="shared" si="56"/>
        <v>100000</v>
      </c>
      <c r="R335" s="267">
        <f t="shared" si="63"/>
        <v>1</v>
      </c>
      <c r="S335" s="266">
        <f t="shared" si="57"/>
        <v>0</v>
      </c>
      <c r="T335" s="266">
        <f t="shared" si="58"/>
        <v>0</v>
      </c>
      <c r="U335" s="266">
        <f t="shared" si="59"/>
        <v>100000</v>
      </c>
      <c r="V335" s="266">
        <v>0</v>
      </c>
    </row>
    <row r="336" spans="1:22" ht="27.95" hidden="1" customHeight="1">
      <c r="A336" s="260"/>
      <c r="B336" s="260"/>
      <c r="C336" s="260"/>
      <c r="D336" s="260"/>
      <c r="E336" s="260"/>
      <c r="F336" s="260"/>
      <c r="G336" s="260"/>
      <c r="H336" s="268" t="s">
        <v>1246</v>
      </c>
      <c r="I336" s="230"/>
      <c r="J336" s="262">
        <v>1</v>
      </c>
      <c r="K336" s="263" t="s">
        <v>1029</v>
      </c>
      <c r="L336" s="264">
        <v>100000</v>
      </c>
      <c r="M336" s="265">
        <f>+J336*L336</f>
        <v>100000</v>
      </c>
      <c r="N336" s="266">
        <v>0</v>
      </c>
      <c r="O336" s="261"/>
      <c r="P336" s="266">
        <v>0</v>
      </c>
      <c r="Q336" s="266">
        <f t="shared" si="56"/>
        <v>0</v>
      </c>
      <c r="R336" s="267">
        <f t="shared" si="63"/>
        <v>0</v>
      </c>
      <c r="S336" s="266">
        <f t="shared" si="57"/>
        <v>0</v>
      </c>
      <c r="T336" s="266">
        <f t="shared" si="58"/>
        <v>0</v>
      </c>
      <c r="U336" s="266">
        <f t="shared" si="59"/>
        <v>0</v>
      </c>
      <c r="V336" s="266">
        <v>0</v>
      </c>
    </row>
    <row r="337" spans="1:22" ht="27.95" hidden="1" customHeight="1">
      <c r="A337" s="260" t="s">
        <v>362</v>
      </c>
      <c r="B337" s="260" t="s">
        <v>1002</v>
      </c>
      <c r="C337" s="260" t="s">
        <v>1002</v>
      </c>
      <c r="D337" s="260" t="s">
        <v>363</v>
      </c>
      <c r="E337" s="260" t="s">
        <v>970</v>
      </c>
      <c r="F337" s="260" t="s">
        <v>362</v>
      </c>
      <c r="G337" s="260" t="s">
        <v>1040</v>
      </c>
      <c r="H337" s="261" t="s">
        <v>252</v>
      </c>
      <c r="I337" s="230"/>
      <c r="J337" s="262"/>
      <c r="K337" s="263"/>
      <c r="L337" s="264"/>
      <c r="M337" s="265"/>
      <c r="N337" s="266">
        <v>0</v>
      </c>
      <c r="O337" s="261"/>
      <c r="P337" s="266">
        <v>0</v>
      </c>
      <c r="Q337" s="266">
        <f t="shared" si="56"/>
        <v>0</v>
      </c>
      <c r="R337" s="267" t="str">
        <f t="shared" si="63"/>
        <v/>
      </c>
      <c r="S337" s="266">
        <f t="shared" si="57"/>
        <v>0</v>
      </c>
      <c r="T337" s="266">
        <f t="shared" si="58"/>
        <v>0</v>
      </c>
      <c r="U337" s="266">
        <f t="shared" si="59"/>
        <v>0</v>
      </c>
      <c r="V337" s="266">
        <v>0</v>
      </c>
    </row>
    <row r="338" spans="1:22" ht="27.95" hidden="1" customHeight="1">
      <c r="A338" s="260"/>
      <c r="B338" s="260"/>
      <c r="C338" s="260"/>
      <c r="D338" s="260"/>
      <c r="E338" s="260"/>
      <c r="F338" s="260"/>
      <c r="G338" s="260"/>
      <c r="H338" s="268" t="s">
        <v>1247</v>
      </c>
      <c r="I338" s="230"/>
      <c r="J338" s="262">
        <v>18</v>
      </c>
      <c r="K338" s="263" t="s">
        <v>1042</v>
      </c>
      <c r="L338" s="264">
        <v>10000</v>
      </c>
      <c r="M338" s="265">
        <f t="shared" ref="M338:M345" si="65">+J338*L338</f>
        <v>180000</v>
      </c>
      <c r="N338" s="266">
        <v>18</v>
      </c>
      <c r="O338" s="261" t="s">
        <v>1248</v>
      </c>
      <c r="P338" s="266">
        <v>10000</v>
      </c>
      <c r="Q338" s="266">
        <f t="shared" si="56"/>
        <v>180000</v>
      </c>
      <c r="R338" s="267">
        <f t="shared" si="63"/>
        <v>1</v>
      </c>
      <c r="S338" s="266">
        <f t="shared" si="57"/>
        <v>0</v>
      </c>
      <c r="T338" s="266">
        <f t="shared" si="58"/>
        <v>0</v>
      </c>
      <c r="U338" s="266">
        <f t="shared" si="59"/>
        <v>180000</v>
      </c>
      <c r="V338" s="266">
        <v>0</v>
      </c>
    </row>
    <row r="339" spans="1:22" ht="27.95" hidden="1" customHeight="1">
      <c r="A339" s="260"/>
      <c r="B339" s="260"/>
      <c r="C339" s="260"/>
      <c r="D339" s="260"/>
      <c r="E339" s="260"/>
      <c r="F339" s="260"/>
      <c r="G339" s="260"/>
      <c r="H339" s="268" t="s">
        <v>1249</v>
      </c>
      <c r="I339" s="230"/>
      <c r="J339" s="262">
        <v>27</v>
      </c>
      <c r="K339" s="263" t="s">
        <v>1042</v>
      </c>
      <c r="L339" s="264">
        <v>35000</v>
      </c>
      <c r="M339" s="265">
        <f t="shared" si="65"/>
        <v>945000</v>
      </c>
      <c r="N339" s="262">
        <v>27</v>
      </c>
      <c r="O339" s="263" t="s">
        <v>1042</v>
      </c>
      <c r="P339" s="264">
        <v>35000</v>
      </c>
      <c r="Q339" s="266">
        <f t="shared" si="56"/>
        <v>945000</v>
      </c>
      <c r="R339" s="267">
        <f t="shared" si="63"/>
        <v>1</v>
      </c>
      <c r="S339" s="266">
        <f>+IF(W339="DDS",Q339,0)</f>
        <v>0</v>
      </c>
      <c r="T339" s="266">
        <f t="shared" si="58"/>
        <v>0</v>
      </c>
      <c r="U339" s="266">
        <f t="shared" si="59"/>
        <v>945000</v>
      </c>
      <c r="V339" s="266">
        <v>0</v>
      </c>
    </row>
    <row r="340" spans="1:22" ht="27.95" hidden="1" customHeight="1">
      <c r="A340" s="260"/>
      <c r="B340" s="260"/>
      <c r="C340" s="260"/>
      <c r="D340" s="260"/>
      <c r="E340" s="260"/>
      <c r="F340" s="260"/>
      <c r="G340" s="260"/>
      <c r="H340" s="268" t="s">
        <v>1250</v>
      </c>
      <c r="I340" s="230"/>
      <c r="J340" s="262">
        <v>18</v>
      </c>
      <c r="K340" s="263" t="s">
        <v>1042</v>
      </c>
      <c r="L340" s="264">
        <v>10000</v>
      </c>
      <c r="M340" s="265">
        <f t="shared" si="65"/>
        <v>180000</v>
      </c>
      <c r="N340" s="266">
        <v>0</v>
      </c>
      <c r="O340" s="261"/>
      <c r="P340" s="266">
        <v>0</v>
      </c>
      <c r="Q340" s="266">
        <f t="shared" si="56"/>
        <v>0</v>
      </c>
      <c r="R340" s="267">
        <f t="shared" si="63"/>
        <v>0</v>
      </c>
      <c r="S340" s="266">
        <f t="shared" si="57"/>
        <v>0</v>
      </c>
      <c r="T340" s="266">
        <f t="shared" si="58"/>
        <v>0</v>
      </c>
      <c r="U340" s="266">
        <f t="shared" si="59"/>
        <v>0</v>
      </c>
      <c r="V340" s="266">
        <v>0</v>
      </c>
    </row>
    <row r="341" spans="1:22" ht="27.95" hidden="1" customHeight="1">
      <c r="A341" s="260"/>
      <c r="B341" s="260"/>
      <c r="C341" s="260"/>
      <c r="D341" s="260"/>
      <c r="E341" s="260"/>
      <c r="F341" s="260"/>
      <c r="G341" s="260"/>
      <c r="H341" s="268" t="s">
        <v>1251</v>
      </c>
      <c r="I341" s="230"/>
      <c r="J341" s="262">
        <v>27</v>
      </c>
      <c r="K341" s="263" t="s">
        <v>1042</v>
      </c>
      <c r="L341" s="264">
        <v>35000</v>
      </c>
      <c r="M341" s="265">
        <f t="shared" si="65"/>
        <v>945000</v>
      </c>
      <c r="N341" s="262">
        <v>27</v>
      </c>
      <c r="O341" s="263" t="s">
        <v>1042</v>
      </c>
      <c r="P341" s="264">
        <v>35000</v>
      </c>
      <c r="Q341" s="266">
        <f t="shared" si="56"/>
        <v>945000</v>
      </c>
      <c r="R341" s="267">
        <f t="shared" si="63"/>
        <v>1</v>
      </c>
      <c r="S341" s="266">
        <f t="shared" si="57"/>
        <v>0</v>
      </c>
      <c r="T341" s="266">
        <f t="shared" si="58"/>
        <v>0</v>
      </c>
      <c r="U341" s="266">
        <f t="shared" si="59"/>
        <v>945000</v>
      </c>
      <c r="V341" s="266">
        <v>0</v>
      </c>
    </row>
    <row r="342" spans="1:22" ht="27.95" hidden="1" customHeight="1">
      <c r="A342" s="260"/>
      <c r="B342" s="260"/>
      <c r="C342" s="260"/>
      <c r="D342" s="260"/>
      <c r="E342" s="260"/>
      <c r="F342" s="260"/>
      <c r="G342" s="260"/>
      <c r="H342" s="268" t="s">
        <v>1252</v>
      </c>
      <c r="I342" s="230"/>
      <c r="J342" s="262">
        <v>18</v>
      </c>
      <c r="K342" s="263" t="s">
        <v>1042</v>
      </c>
      <c r="L342" s="264">
        <v>10000</v>
      </c>
      <c r="M342" s="265">
        <f>+J342*L342</f>
        <v>180000</v>
      </c>
      <c r="N342" s="262">
        <v>18</v>
      </c>
      <c r="O342" s="263" t="s">
        <v>1042</v>
      </c>
      <c r="P342" s="264">
        <v>10000</v>
      </c>
      <c r="Q342" s="266">
        <f t="shared" si="56"/>
        <v>180000</v>
      </c>
      <c r="R342" s="267">
        <f t="shared" si="63"/>
        <v>1</v>
      </c>
      <c r="S342" s="266">
        <f t="shared" si="57"/>
        <v>0</v>
      </c>
      <c r="T342" s="266">
        <f t="shared" si="58"/>
        <v>0</v>
      </c>
      <c r="U342" s="266">
        <f t="shared" si="59"/>
        <v>180000</v>
      </c>
      <c r="V342" s="266">
        <v>0</v>
      </c>
    </row>
    <row r="343" spans="1:22" ht="27.95" hidden="1" customHeight="1">
      <c r="A343" s="260"/>
      <c r="B343" s="260"/>
      <c r="C343" s="260"/>
      <c r="D343" s="260"/>
      <c r="E343" s="260"/>
      <c r="F343" s="260"/>
      <c r="G343" s="260"/>
      <c r="H343" s="268" t="s">
        <v>1253</v>
      </c>
      <c r="I343" s="230"/>
      <c r="J343" s="262">
        <v>27</v>
      </c>
      <c r="K343" s="263" t="s">
        <v>1042</v>
      </c>
      <c r="L343" s="264">
        <v>35000</v>
      </c>
      <c r="M343" s="265">
        <f>+J343*L343</f>
        <v>945000</v>
      </c>
      <c r="N343" s="262">
        <v>27</v>
      </c>
      <c r="O343" s="263" t="s">
        <v>1042</v>
      </c>
      <c r="P343" s="264">
        <v>35000</v>
      </c>
      <c r="Q343" s="266">
        <f t="shared" si="56"/>
        <v>945000</v>
      </c>
      <c r="R343" s="267">
        <f t="shared" si="63"/>
        <v>1</v>
      </c>
      <c r="S343" s="266">
        <f t="shared" si="57"/>
        <v>0</v>
      </c>
      <c r="T343" s="266">
        <f t="shared" si="58"/>
        <v>0</v>
      </c>
      <c r="U343" s="266">
        <f t="shared" si="59"/>
        <v>945000</v>
      </c>
      <c r="V343" s="266">
        <v>0</v>
      </c>
    </row>
    <row r="344" spans="1:22" ht="27.95" hidden="1" customHeight="1">
      <c r="A344" s="260"/>
      <c r="B344" s="260"/>
      <c r="C344" s="260"/>
      <c r="D344" s="260"/>
      <c r="E344" s="260"/>
      <c r="F344" s="260"/>
      <c r="G344" s="260"/>
      <c r="H344" s="268" t="s">
        <v>1254</v>
      </c>
      <c r="I344" s="230"/>
      <c r="J344" s="262">
        <v>18</v>
      </c>
      <c r="K344" s="263" t="s">
        <v>1042</v>
      </c>
      <c r="L344" s="264">
        <v>10000</v>
      </c>
      <c r="M344" s="265">
        <f t="shared" si="65"/>
        <v>180000</v>
      </c>
      <c r="N344" s="266">
        <v>0</v>
      </c>
      <c r="O344" s="261"/>
      <c r="P344" s="266">
        <v>0</v>
      </c>
      <c r="Q344" s="266">
        <f t="shared" si="56"/>
        <v>0</v>
      </c>
      <c r="R344" s="267">
        <f t="shared" si="63"/>
        <v>0</v>
      </c>
      <c r="S344" s="266">
        <f t="shared" si="57"/>
        <v>0</v>
      </c>
      <c r="T344" s="266">
        <f t="shared" si="58"/>
        <v>0</v>
      </c>
      <c r="U344" s="266">
        <f t="shared" si="59"/>
        <v>0</v>
      </c>
      <c r="V344" s="266">
        <v>0</v>
      </c>
    </row>
    <row r="345" spans="1:22" ht="27.95" hidden="1" customHeight="1">
      <c r="A345" s="260"/>
      <c r="B345" s="260"/>
      <c r="C345" s="260"/>
      <c r="D345" s="260"/>
      <c r="E345" s="260"/>
      <c r="F345" s="260"/>
      <c r="G345" s="260"/>
      <c r="H345" s="268" t="s">
        <v>1255</v>
      </c>
      <c r="I345" s="230"/>
      <c r="J345" s="262">
        <v>27</v>
      </c>
      <c r="K345" s="263" t="s">
        <v>1042</v>
      </c>
      <c r="L345" s="264">
        <v>35000</v>
      </c>
      <c r="M345" s="265">
        <f t="shared" si="65"/>
        <v>945000</v>
      </c>
      <c r="N345" s="266">
        <v>0</v>
      </c>
      <c r="O345" s="261"/>
      <c r="P345" s="266">
        <v>0</v>
      </c>
      <c r="Q345" s="266">
        <f t="shared" si="56"/>
        <v>0</v>
      </c>
      <c r="R345" s="267">
        <f t="shared" si="63"/>
        <v>0</v>
      </c>
      <c r="S345" s="266">
        <f t="shared" si="57"/>
        <v>0</v>
      </c>
      <c r="T345" s="266">
        <f t="shared" si="58"/>
        <v>0</v>
      </c>
      <c r="U345" s="266">
        <f t="shared" si="59"/>
        <v>0</v>
      </c>
      <c r="V345" s="266">
        <v>0</v>
      </c>
    </row>
    <row r="346" spans="1:22" ht="27.95" customHeight="1">
      <c r="A346" s="229" t="s">
        <v>362</v>
      </c>
      <c r="B346" s="229" t="s">
        <v>1002</v>
      </c>
      <c r="C346" s="229" t="s">
        <v>1038</v>
      </c>
      <c r="D346" s="229"/>
      <c r="E346" s="229"/>
      <c r="F346" s="229"/>
      <c r="G346" s="229" t="s">
        <v>959</v>
      </c>
      <c r="H346" s="238" t="s">
        <v>1256</v>
      </c>
      <c r="I346" s="230" t="s">
        <v>1257</v>
      </c>
      <c r="J346" s="239"/>
      <c r="K346" s="240">
        <v>2</v>
      </c>
      <c r="L346" s="241" t="s">
        <v>1538</v>
      </c>
      <c r="M346" s="234">
        <f>M347</f>
        <v>7485000</v>
      </c>
      <c r="N346" s="266">
        <v>0</v>
      </c>
      <c r="O346" s="240">
        <v>2</v>
      </c>
      <c r="P346" s="241" t="s">
        <v>1538</v>
      </c>
      <c r="Q346" s="234">
        <f>Q347</f>
        <v>6555000</v>
      </c>
      <c r="R346" s="236">
        <f>Q346/M346*100%</f>
        <v>0.87575150300601201</v>
      </c>
      <c r="S346" s="234">
        <f>S347</f>
        <v>0</v>
      </c>
      <c r="T346" s="234">
        <f>T347</f>
        <v>0</v>
      </c>
      <c r="U346" s="234">
        <f>U347</f>
        <v>6555000</v>
      </c>
      <c r="V346" s="234">
        <f>V347</f>
        <v>0</v>
      </c>
    </row>
    <row r="347" spans="1:22" ht="27.95" hidden="1" customHeight="1">
      <c r="A347" s="229" t="s">
        <v>362</v>
      </c>
      <c r="B347" s="229" t="s">
        <v>1002</v>
      </c>
      <c r="C347" s="229" t="s">
        <v>1038</v>
      </c>
      <c r="D347" s="244" t="s">
        <v>363</v>
      </c>
      <c r="E347" s="244" t="s">
        <v>970</v>
      </c>
      <c r="F347" s="244" t="s">
        <v>959</v>
      </c>
      <c r="G347" s="244" t="s">
        <v>959</v>
      </c>
      <c r="H347" s="245" t="s">
        <v>133</v>
      </c>
      <c r="I347" s="230"/>
      <c r="J347" s="246"/>
      <c r="K347" s="247"/>
      <c r="L347" s="248"/>
      <c r="M347" s="249">
        <f>M348+M356</f>
        <v>7485000</v>
      </c>
      <c r="N347" s="266">
        <v>0</v>
      </c>
      <c r="O347" s="261"/>
      <c r="P347" s="249">
        <f>P348+P356</f>
        <v>0</v>
      </c>
      <c r="Q347" s="249">
        <f>Q348+Q356</f>
        <v>6555000</v>
      </c>
      <c r="R347" s="249"/>
      <c r="S347" s="249">
        <f>S348+S356</f>
        <v>0</v>
      </c>
      <c r="T347" s="249">
        <f>T348+T356</f>
        <v>0</v>
      </c>
      <c r="U347" s="249">
        <f>U348+U356</f>
        <v>6555000</v>
      </c>
      <c r="V347" s="249">
        <f>V348+V356</f>
        <v>0</v>
      </c>
    </row>
    <row r="348" spans="1:22" ht="27.95" hidden="1" customHeight="1">
      <c r="A348" s="260" t="s">
        <v>362</v>
      </c>
      <c r="B348" s="260" t="s">
        <v>1002</v>
      </c>
      <c r="C348" s="260" t="s">
        <v>1038</v>
      </c>
      <c r="D348" s="252">
        <v>5</v>
      </c>
      <c r="E348" s="252">
        <v>2</v>
      </c>
      <c r="F348" s="252">
        <v>1</v>
      </c>
      <c r="G348" s="252"/>
      <c r="H348" s="253" t="s">
        <v>1258</v>
      </c>
      <c r="I348" s="230"/>
      <c r="J348" s="254"/>
      <c r="K348" s="255"/>
      <c r="L348" s="256"/>
      <c r="M348" s="257">
        <f>M349</f>
        <v>2410000</v>
      </c>
      <c r="N348" s="266">
        <v>0</v>
      </c>
      <c r="O348" s="261"/>
      <c r="P348" s="257">
        <f>P349</f>
        <v>0</v>
      </c>
      <c r="Q348" s="257">
        <f>SUM(Q350:Q355)</f>
        <v>1480000</v>
      </c>
      <c r="R348" s="257"/>
      <c r="S348" s="257">
        <f>SUM(S350:S355)</f>
        <v>0</v>
      </c>
      <c r="T348" s="257">
        <f>SUM(T350:T355)</f>
        <v>0</v>
      </c>
      <c r="U348" s="257">
        <f>SUM(U350:U355)</f>
        <v>1480000</v>
      </c>
      <c r="V348" s="257">
        <f>V349</f>
        <v>0</v>
      </c>
    </row>
    <row r="349" spans="1:22" ht="27.95" hidden="1" customHeight="1">
      <c r="A349" s="229" t="s">
        <v>362</v>
      </c>
      <c r="B349" s="229" t="s">
        <v>1002</v>
      </c>
      <c r="C349" s="229" t="s">
        <v>1038</v>
      </c>
      <c r="D349" s="260" t="s">
        <v>363</v>
      </c>
      <c r="E349" s="260" t="s">
        <v>970</v>
      </c>
      <c r="F349" s="260" t="s">
        <v>362</v>
      </c>
      <c r="G349" s="260" t="s">
        <v>960</v>
      </c>
      <c r="H349" s="261" t="s">
        <v>1027</v>
      </c>
      <c r="I349" s="230"/>
      <c r="J349" s="262"/>
      <c r="K349" s="263"/>
      <c r="L349" s="264"/>
      <c r="M349" s="265">
        <f>SUM(M350:M355)</f>
        <v>2410000</v>
      </c>
      <c r="N349" s="266">
        <v>0</v>
      </c>
      <c r="O349" s="261"/>
      <c r="P349" s="266">
        <v>0</v>
      </c>
      <c r="Q349" s="266">
        <f t="shared" ref="Q349:Q401" si="66">+N349*P349</f>
        <v>0</v>
      </c>
      <c r="R349" s="267" t="str">
        <f t="shared" si="63"/>
        <v/>
      </c>
      <c r="S349" s="266">
        <f t="shared" ref="S349:S403" si="67">+IF(W349="DDS",Q349,0)</f>
        <v>0</v>
      </c>
      <c r="T349" s="266">
        <f t="shared" ref="T349:T403" si="68">+IF(W349="ADD",Q349,0)</f>
        <v>0</v>
      </c>
      <c r="U349" s="266">
        <f t="shared" ref="U349:U403" si="69">+IF(W349="DDS",0,IF(W349="ADD",0,Q349))</f>
        <v>0</v>
      </c>
      <c r="V349" s="266">
        <v>0</v>
      </c>
    </row>
    <row r="350" spans="1:22" ht="27.95" hidden="1" customHeight="1">
      <c r="A350" s="229"/>
      <c r="B350" s="229"/>
      <c r="C350" s="229"/>
      <c r="D350" s="260"/>
      <c r="E350" s="260"/>
      <c r="F350" s="260"/>
      <c r="G350" s="260"/>
      <c r="H350" s="268" t="s">
        <v>1259</v>
      </c>
      <c r="I350" s="230"/>
      <c r="J350" s="262">
        <v>1</v>
      </c>
      <c r="K350" s="263" t="s">
        <v>1029</v>
      </c>
      <c r="L350" s="264">
        <v>200000</v>
      </c>
      <c r="M350" s="265">
        <f>+J350*L350</f>
        <v>200000</v>
      </c>
      <c r="N350" s="262">
        <v>1</v>
      </c>
      <c r="O350" s="263" t="s">
        <v>1029</v>
      </c>
      <c r="P350" s="264">
        <v>200000</v>
      </c>
      <c r="Q350" s="266">
        <f t="shared" si="66"/>
        <v>200000</v>
      </c>
      <c r="R350" s="267">
        <f>IF(J350="","",Q350/M350)</f>
        <v>1</v>
      </c>
      <c r="S350" s="266">
        <f t="shared" si="67"/>
        <v>0</v>
      </c>
      <c r="T350" s="266">
        <f t="shared" si="68"/>
        <v>0</v>
      </c>
      <c r="U350" s="266">
        <f t="shared" si="69"/>
        <v>200000</v>
      </c>
      <c r="V350" s="266">
        <v>0</v>
      </c>
    </row>
    <row r="351" spans="1:22" ht="27.95" hidden="1" customHeight="1">
      <c r="A351" s="229"/>
      <c r="B351" s="229"/>
      <c r="C351" s="229"/>
      <c r="D351" s="260"/>
      <c r="E351" s="260"/>
      <c r="F351" s="260"/>
      <c r="G351" s="260"/>
      <c r="H351" s="268" t="s">
        <v>1260</v>
      </c>
      <c r="I351" s="230"/>
      <c r="J351" s="262">
        <v>1</v>
      </c>
      <c r="K351" s="263" t="s">
        <v>1029</v>
      </c>
      <c r="L351" s="264">
        <v>100000</v>
      </c>
      <c r="M351" s="265">
        <f>+J351*L351</f>
        <v>100000</v>
      </c>
      <c r="N351" s="266">
        <v>0</v>
      </c>
      <c r="O351" s="261"/>
      <c r="P351" s="266">
        <v>0</v>
      </c>
      <c r="Q351" s="266">
        <f t="shared" si="66"/>
        <v>0</v>
      </c>
      <c r="R351" s="267">
        <f>IF(J351="","",Q351/M351)</f>
        <v>0</v>
      </c>
      <c r="S351" s="266">
        <f t="shared" si="67"/>
        <v>0</v>
      </c>
      <c r="T351" s="266">
        <f t="shared" si="68"/>
        <v>0</v>
      </c>
      <c r="U351" s="266">
        <f t="shared" si="69"/>
        <v>0</v>
      </c>
      <c r="V351" s="266">
        <v>0</v>
      </c>
    </row>
    <row r="352" spans="1:22" ht="27.95" hidden="1" customHeight="1">
      <c r="A352" s="260" t="s">
        <v>362</v>
      </c>
      <c r="B352" s="260" t="s">
        <v>1002</v>
      </c>
      <c r="C352" s="260" t="s">
        <v>1038</v>
      </c>
      <c r="D352" s="260" t="s">
        <v>363</v>
      </c>
      <c r="E352" s="260" t="s">
        <v>970</v>
      </c>
      <c r="F352" s="260" t="s">
        <v>362</v>
      </c>
      <c r="G352" s="260" t="s">
        <v>1038</v>
      </c>
      <c r="H352" s="261" t="s">
        <v>1090</v>
      </c>
      <c r="I352" s="230"/>
      <c r="J352" s="262">
        <v>1</v>
      </c>
      <c r="K352" s="263" t="s">
        <v>1029</v>
      </c>
      <c r="L352" s="264">
        <v>150000</v>
      </c>
      <c r="M352" s="265">
        <f>+J352*L352</f>
        <v>150000</v>
      </c>
      <c r="N352" s="262">
        <v>1</v>
      </c>
      <c r="O352" s="263" t="s">
        <v>1029</v>
      </c>
      <c r="P352" s="264">
        <v>150000</v>
      </c>
      <c r="Q352" s="266">
        <f t="shared" si="66"/>
        <v>150000</v>
      </c>
      <c r="R352" s="267">
        <f t="shared" si="63"/>
        <v>1</v>
      </c>
      <c r="S352" s="266">
        <f t="shared" si="67"/>
        <v>0</v>
      </c>
      <c r="T352" s="266">
        <f t="shared" si="68"/>
        <v>0</v>
      </c>
      <c r="U352" s="266">
        <f t="shared" si="69"/>
        <v>150000</v>
      </c>
      <c r="V352" s="266">
        <v>0</v>
      </c>
    </row>
    <row r="353" spans="1:22" ht="27.95" hidden="1" customHeight="1">
      <c r="A353" s="260" t="s">
        <v>362</v>
      </c>
      <c r="B353" s="260" t="s">
        <v>1002</v>
      </c>
      <c r="C353" s="260" t="s">
        <v>1038</v>
      </c>
      <c r="D353" s="260" t="s">
        <v>363</v>
      </c>
      <c r="E353" s="260" t="s">
        <v>970</v>
      </c>
      <c r="F353" s="260" t="s">
        <v>970</v>
      </c>
      <c r="G353" s="269" t="s">
        <v>1040</v>
      </c>
      <c r="H353" s="261" t="s">
        <v>1261</v>
      </c>
      <c r="I353" s="230"/>
      <c r="J353" s="262"/>
      <c r="K353" s="263"/>
      <c r="L353" s="264"/>
      <c r="M353" s="265"/>
      <c r="N353" s="266">
        <v>0</v>
      </c>
      <c r="O353" s="261"/>
      <c r="P353" s="266">
        <v>0</v>
      </c>
      <c r="Q353" s="266">
        <f t="shared" si="66"/>
        <v>0</v>
      </c>
      <c r="R353" s="267" t="str">
        <f>IF(J353="","",Q353/M353)</f>
        <v/>
      </c>
      <c r="S353" s="266">
        <f t="shared" si="67"/>
        <v>0</v>
      </c>
      <c r="T353" s="266">
        <f t="shared" si="68"/>
        <v>0</v>
      </c>
      <c r="U353" s="266">
        <f t="shared" si="69"/>
        <v>0</v>
      </c>
      <c r="V353" s="266">
        <v>0</v>
      </c>
    </row>
    <row r="354" spans="1:22" ht="27.95" hidden="1" customHeight="1">
      <c r="A354" s="229"/>
      <c r="B354" s="229"/>
      <c r="C354" s="229"/>
      <c r="D354" s="260"/>
      <c r="E354" s="260"/>
      <c r="F354" s="260"/>
      <c r="G354" s="260"/>
      <c r="H354" s="268" t="s">
        <v>1262</v>
      </c>
      <c r="I354" s="230"/>
      <c r="J354" s="262">
        <v>36</v>
      </c>
      <c r="K354" s="263" t="s">
        <v>1263</v>
      </c>
      <c r="L354" s="264">
        <v>35000</v>
      </c>
      <c r="M354" s="265">
        <f>+J354*L354</f>
        <v>1260000</v>
      </c>
      <c r="N354" s="262">
        <v>18</v>
      </c>
      <c r="O354" s="263" t="s">
        <v>1263</v>
      </c>
      <c r="P354" s="264">
        <v>35000</v>
      </c>
      <c r="Q354" s="266">
        <f t="shared" si="66"/>
        <v>630000</v>
      </c>
      <c r="R354" s="267">
        <f>IF(J354="","",Q354/M354)</f>
        <v>0.5</v>
      </c>
      <c r="S354" s="266">
        <f t="shared" si="67"/>
        <v>0</v>
      </c>
      <c r="T354" s="266">
        <f t="shared" si="68"/>
        <v>0</v>
      </c>
      <c r="U354" s="266">
        <f t="shared" si="69"/>
        <v>630000</v>
      </c>
      <c r="V354" s="266">
        <v>0</v>
      </c>
    </row>
    <row r="355" spans="1:22" ht="27.95" hidden="1" customHeight="1">
      <c r="A355" s="260"/>
      <c r="B355" s="260"/>
      <c r="C355" s="260"/>
      <c r="D355" s="260"/>
      <c r="E355" s="260"/>
      <c r="F355" s="260"/>
      <c r="G355" s="260"/>
      <c r="H355" s="268" t="s">
        <v>1264</v>
      </c>
      <c r="I355" s="230"/>
      <c r="J355" s="262">
        <v>70</v>
      </c>
      <c r="K355" s="263" t="s">
        <v>1263</v>
      </c>
      <c r="L355" s="264">
        <v>10000</v>
      </c>
      <c r="M355" s="265">
        <f>+J355*L355</f>
        <v>700000</v>
      </c>
      <c r="N355" s="262">
        <v>50</v>
      </c>
      <c r="O355" s="263" t="s">
        <v>1263</v>
      </c>
      <c r="P355" s="264">
        <v>10000</v>
      </c>
      <c r="Q355" s="266">
        <f t="shared" si="66"/>
        <v>500000</v>
      </c>
      <c r="R355" s="267">
        <f>IF(J355="","",Q355/M355)</f>
        <v>0.7142857142857143</v>
      </c>
      <c r="S355" s="266">
        <f t="shared" si="67"/>
        <v>0</v>
      </c>
      <c r="T355" s="266">
        <f t="shared" si="68"/>
        <v>0</v>
      </c>
      <c r="U355" s="266">
        <f t="shared" si="69"/>
        <v>500000</v>
      </c>
      <c r="V355" s="266">
        <v>0</v>
      </c>
    </row>
    <row r="356" spans="1:22" ht="27.95" hidden="1" customHeight="1">
      <c r="A356" s="229" t="s">
        <v>362</v>
      </c>
      <c r="B356" s="229" t="s">
        <v>1002</v>
      </c>
      <c r="C356" s="229" t="s">
        <v>1038</v>
      </c>
      <c r="D356" s="252" t="s">
        <v>363</v>
      </c>
      <c r="E356" s="252" t="s">
        <v>970</v>
      </c>
      <c r="F356" s="252" t="s">
        <v>970</v>
      </c>
      <c r="G356" s="252" t="s">
        <v>959</v>
      </c>
      <c r="H356" s="253" t="s">
        <v>135</v>
      </c>
      <c r="I356" s="230"/>
      <c r="J356" s="254"/>
      <c r="K356" s="255"/>
      <c r="L356" s="256"/>
      <c r="M356" s="257">
        <f>M357+M361</f>
        <v>5075000</v>
      </c>
      <c r="N356" s="266">
        <v>0</v>
      </c>
      <c r="O356" s="261"/>
      <c r="P356" s="266">
        <v>0</v>
      </c>
      <c r="Q356" s="257">
        <f>Q357+Q361</f>
        <v>5075000</v>
      </c>
      <c r="R356" s="267" t="str">
        <f>IF(J356="","",Q356/M356)</f>
        <v/>
      </c>
      <c r="S356" s="266">
        <f t="shared" si="67"/>
        <v>0</v>
      </c>
      <c r="T356" s="266">
        <f t="shared" si="68"/>
        <v>0</v>
      </c>
      <c r="U356" s="266">
        <f t="shared" si="69"/>
        <v>5075000</v>
      </c>
      <c r="V356" s="266">
        <v>0</v>
      </c>
    </row>
    <row r="357" spans="1:22" ht="27.95" hidden="1" customHeight="1">
      <c r="A357" s="260" t="s">
        <v>362</v>
      </c>
      <c r="B357" s="260" t="s">
        <v>1002</v>
      </c>
      <c r="C357" s="260" t="s">
        <v>1038</v>
      </c>
      <c r="D357" s="260" t="s">
        <v>363</v>
      </c>
      <c r="E357" s="260" t="s">
        <v>970</v>
      </c>
      <c r="F357" s="260" t="s">
        <v>970</v>
      </c>
      <c r="G357" s="269" t="s">
        <v>1038</v>
      </c>
      <c r="H357" s="261" t="s">
        <v>1265</v>
      </c>
      <c r="I357" s="230"/>
      <c r="J357" s="262"/>
      <c r="K357" s="263"/>
      <c r="L357" s="264"/>
      <c r="M357" s="265">
        <f>SUM(M358:M360)</f>
        <v>3600000</v>
      </c>
      <c r="N357" s="266">
        <v>0</v>
      </c>
      <c r="O357" s="261"/>
      <c r="P357" s="266">
        <v>0</v>
      </c>
      <c r="Q357" s="265">
        <f>SUM(Q358:Q360)</f>
        <v>3600000</v>
      </c>
      <c r="R357" s="267" t="str">
        <f t="shared" si="63"/>
        <v/>
      </c>
      <c r="S357" s="266">
        <f t="shared" si="67"/>
        <v>0</v>
      </c>
      <c r="T357" s="266">
        <f t="shared" si="68"/>
        <v>0</v>
      </c>
      <c r="U357" s="266">
        <f t="shared" si="69"/>
        <v>3600000</v>
      </c>
      <c r="V357" s="266">
        <v>0</v>
      </c>
    </row>
    <row r="358" spans="1:22" ht="27.95" hidden="1" customHeight="1">
      <c r="A358" s="229"/>
      <c r="B358" s="229"/>
      <c r="C358" s="229"/>
      <c r="D358" s="260"/>
      <c r="E358" s="260"/>
      <c r="F358" s="260"/>
      <c r="G358" s="260"/>
      <c r="H358" s="268" t="s">
        <v>1266</v>
      </c>
      <c r="I358" s="230"/>
      <c r="J358" s="262">
        <v>4</v>
      </c>
      <c r="K358" s="263" t="s">
        <v>966</v>
      </c>
      <c r="L358" s="264">
        <v>350000</v>
      </c>
      <c r="M358" s="265">
        <f>+J358*L358</f>
        <v>1400000</v>
      </c>
      <c r="N358" s="262">
        <v>4</v>
      </c>
      <c r="O358" s="263" t="s">
        <v>966</v>
      </c>
      <c r="P358" s="264">
        <v>350000</v>
      </c>
      <c r="Q358" s="266">
        <f t="shared" si="66"/>
        <v>1400000</v>
      </c>
      <c r="R358" s="267">
        <f t="shared" si="63"/>
        <v>1</v>
      </c>
      <c r="S358" s="266">
        <f t="shared" si="67"/>
        <v>0</v>
      </c>
      <c r="T358" s="266">
        <f t="shared" si="68"/>
        <v>0</v>
      </c>
      <c r="U358" s="266">
        <f t="shared" si="69"/>
        <v>1400000</v>
      </c>
      <c r="V358" s="266">
        <v>0</v>
      </c>
    </row>
    <row r="359" spans="1:22" ht="27.95" hidden="1" customHeight="1">
      <c r="A359" s="260"/>
      <c r="B359" s="260"/>
      <c r="C359" s="260"/>
      <c r="D359" s="260"/>
      <c r="E359" s="260"/>
      <c r="F359" s="260"/>
      <c r="G359" s="260"/>
      <c r="H359" s="268" t="s">
        <v>1267</v>
      </c>
      <c r="I359" s="230"/>
      <c r="J359" s="262">
        <v>4</v>
      </c>
      <c r="K359" s="263" t="s">
        <v>966</v>
      </c>
      <c r="L359" s="264">
        <v>300000</v>
      </c>
      <c r="M359" s="265">
        <f>+J359*L359</f>
        <v>1200000</v>
      </c>
      <c r="N359" s="262">
        <v>4</v>
      </c>
      <c r="O359" s="263" t="s">
        <v>966</v>
      </c>
      <c r="P359" s="264">
        <v>300000</v>
      </c>
      <c r="Q359" s="266">
        <f t="shared" si="66"/>
        <v>1200000</v>
      </c>
      <c r="R359" s="267">
        <f t="shared" si="63"/>
        <v>1</v>
      </c>
      <c r="S359" s="266">
        <f t="shared" si="67"/>
        <v>0</v>
      </c>
      <c r="T359" s="266">
        <f t="shared" si="68"/>
        <v>0</v>
      </c>
      <c r="U359" s="266">
        <f t="shared" si="69"/>
        <v>1200000</v>
      </c>
      <c r="V359" s="266">
        <v>0</v>
      </c>
    </row>
    <row r="360" spans="1:22" ht="27.95" hidden="1" customHeight="1">
      <c r="A360" s="244"/>
      <c r="B360" s="244"/>
      <c r="C360" s="244"/>
      <c r="D360" s="260"/>
      <c r="E360" s="260"/>
      <c r="F360" s="260"/>
      <c r="G360" s="260"/>
      <c r="H360" s="268" t="s">
        <v>1268</v>
      </c>
      <c r="I360" s="230"/>
      <c r="J360" s="262">
        <v>4</v>
      </c>
      <c r="K360" s="263" t="s">
        <v>966</v>
      </c>
      <c r="L360" s="264">
        <v>250000</v>
      </c>
      <c r="M360" s="265">
        <f>+J360*L360</f>
        <v>1000000</v>
      </c>
      <c r="N360" s="262">
        <v>4</v>
      </c>
      <c r="O360" s="263" t="s">
        <v>966</v>
      </c>
      <c r="P360" s="264">
        <v>250000</v>
      </c>
      <c r="Q360" s="266">
        <f t="shared" si="66"/>
        <v>1000000</v>
      </c>
      <c r="R360" s="267">
        <f t="shared" si="63"/>
        <v>1</v>
      </c>
      <c r="S360" s="266">
        <f t="shared" si="67"/>
        <v>0</v>
      </c>
      <c r="T360" s="266">
        <f t="shared" si="68"/>
        <v>0</v>
      </c>
      <c r="U360" s="266">
        <f t="shared" si="69"/>
        <v>1000000</v>
      </c>
      <c r="V360" s="266">
        <v>0</v>
      </c>
    </row>
    <row r="361" spans="1:22" ht="27.95" hidden="1" customHeight="1">
      <c r="A361" s="244"/>
      <c r="B361" s="244"/>
      <c r="C361" s="244"/>
      <c r="D361" s="260" t="s">
        <v>363</v>
      </c>
      <c r="E361" s="260" t="s">
        <v>970</v>
      </c>
      <c r="F361" s="260" t="s">
        <v>970</v>
      </c>
      <c r="G361" s="269" t="s">
        <v>960</v>
      </c>
      <c r="H361" s="268" t="s">
        <v>1269</v>
      </c>
      <c r="I361" s="230"/>
      <c r="J361" s="262">
        <v>1</v>
      </c>
      <c r="K361" s="263" t="s">
        <v>966</v>
      </c>
      <c r="L361" s="264">
        <v>1475000</v>
      </c>
      <c r="M361" s="265">
        <f>+J361*L361</f>
        <v>1475000</v>
      </c>
      <c r="N361" s="262">
        <v>1</v>
      </c>
      <c r="O361" s="263" t="s">
        <v>966</v>
      </c>
      <c r="P361" s="264">
        <v>1475000</v>
      </c>
      <c r="Q361" s="266">
        <f>+N361*P361</f>
        <v>1475000</v>
      </c>
      <c r="R361" s="267">
        <f>IF(J361="","",Q361/M361)</f>
        <v>1</v>
      </c>
      <c r="S361" s="266">
        <f>+IF(W361="DDS",Q361,0)</f>
        <v>0</v>
      </c>
      <c r="T361" s="266">
        <f>+IF(W361="ADD",Q361,0)</f>
        <v>0</v>
      </c>
      <c r="U361" s="266">
        <f>+IF(W361="DDS",0,IF(W361="ADD",0,Q361))</f>
        <v>1475000</v>
      </c>
      <c r="V361" s="266">
        <v>0</v>
      </c>
    </row>
    <row r="362" spans="1:22" ht="27.95" customHeight="1">
      <c r="A362" s="229">
        <v>1</v>
      </c>
      <c r="B362" s="270" t="s">
        <v>1002</v>
      </c>
      <c r="C362" s="270" t="s">
        <v>1040</v>
      </c>
      <c r="D362" s="229"/>
      <c r="E362" s="270"/>
      <c r="F362" s="270"/>
      <c r="G362" s="260"/>
      <c r="H362" s="238" t="s">
        <v>1270</v>
      </c>
      <c r="I362" s="238" t="s">
        <v>1271</v>
      </c>
      <c r="J362" s="262"/>
      <c r="K362" s="263">
        <v>1</v>
      </c>
      <c r="L362" s="264" t="s">
        <v>1538</v>
      </c>
      <c r="M362" s="234">
        <f>M363</f>
        <v>10200000</v>
      </c>
      <c r="N362" s="266">
        <v>0</v>
      </c>
      <c r="O362" s="263">
        <v>1</v>
      </c>
      <c r="P362" s="264" t="s">
        <v>1538</v>
      </c>
      <c r="Q362" s="234">
        <f>Q363</f>
        <v>10200000</v>
      </c>
      <c r="R362" s="236">
        <f>Q362/M362*100%</f>
        <v>1</v>
      </c>
      <c r="S362" s="234">
        <f>S363</f>
        <v>0</v>
      </c>
      <c r="T362" s="234">
        <f>T363</f>
        <v>0</v>
      </c>
      <c r="U362" s="234">
        <f>U363</f>
        <v>10200000</v>
      </c>
      <c r="V362" s="234">
        <f>V363</f>
        <v>0</v>
      </c>
    </row>
    <row r="363" spans="1:22" ht="27.95" hidden="1" customHeight="1">
      <c r="A363" s="260" t="s">
        <v>362</v>
      </c>
      <c r="B363" s="260" t="s">
        <v>1002</v>
      </c>
      <c r="C363" s="269" t="s">
        <v>1040</v>
      </c>
      <c r="D363" s="244" t="s">
        <v>363</v>
      </c>
      <c r="E363" s="244" t="s">
        <v>970</v>
      </c>
      <c r="F363" s="244" t="s">
        <v>959</v>
      </c>
      <c r="G363" s="244" t="s">
        <v>959</v>
      </c>
      <c r="H363" s="245" t="s">
        <v>133</v>
      </c>
      <c r="I363" s="230"/>
      <c r="J363" s="246"/>
      <c r="K363" s="247"/>
      <c r="L363" s="248"/>
      <c r="M363" s="249">
        <f>M364+M370</f>
        <v>10200000</v>
      </c>
      <c r="N363" s="266">
        <v>0</v>
      </c>
      <c r="O363" s="261"/>
      <c r="P363" s="266">
        <v>0</v>
      </c>
      <c r="Q363" s="249">
        <f>Q364+Q370</f>
        <v>10200000</v>
      </c>
      <c r="R363" s="267" t="str">
        <f t="shared" si="63"/>
        <v/>
      </c>
      <c r="S363" s="249">
        <f>S364+S370</f>
        <v>0</v>
      </c>
      <c r="T363" s="249">
        <f>T364+T370</f>
        <v>0</v>
      </c>
      <c r="U363" s="249">
        <f>U364+U370</f>
        <v>10200000</v>
      </c>
      <c r="V363" s="249">
        <f>V364+V370</f>
        <v>0</v>
      </c>
    </row>
    <row r="364" spans="1:22" ht="27.95" hidden="1" customHeight="1">
      <c r="A364" s="229">
        <v>1</v>
      </c>
      <c r="B364" s="270" t="s">
        <v>1002</v>
      </c>
      <c r="C364" s="270" t="s">
        <v>1040</v>
      </c>
      <c r="D364" s="252">
        <v>5</v>
      </c>
      <c r="E364" s="252">
        <v>2</v>
      </c>
      <c r="F364" s="252">
        <v>1</v>
      </c>
      <c r="G364" s="252"/>
      <c r="H364" s="253" t="s">
        <v>1258</v>
      </c>
      <c r="I364" s="230"/>
      <c r="J364" s="254"/>
      <c r="K364" s="255"/>
      <c r="L364" s="256"/>
      <c r="M364" s="257">
        <f>SUM(M365:M369)</f>
        <v>9300000</v>
      </c>
      <c r="N364" s="266">
        <v>0</v>
      </c>
      <c r="O364" s="261"/>
      <c r="P364" s="266">
        <v>0</v>
      </c>
      <c r="Q364" s="257">
        <f>SUM(Q365:Q371)</f>
        <v>10200000</v>
      </c>
      <c r="R364" s="267" t="str">
        <f t="shared" si="63"/>
        <v/>
      </c>
      <c r="S364" s="257">
        <f>SUM(S365:S371)</f>
        <v>0</v>
      </c>
      <c r="T364" s="257">
        <f>SUM(T365:T371)</f>
        <v>0</v>
      </c>
      <c r="U364" s="257">
        <f>SUM(U365:U371)</f>
        <v>10200000</v>
      </c>
      <c r="V364" s="257">
        <f>SUM(V365:V369)</f>
        <v>0</v>
      </c>
    </row>
    <row r="365" spans="1:22" ht="27.95" hidden="1" customHeight="1">
      <c r="A365" s="260">
        <v>1</v>
      </c>
      <c r="B365" s="269" t="s">
        <v>1002</v>
      </c>
      <c r="C365" s="269" t="s">
        <v>1040</v>
      </c>
      <c r="D365" s="260" t="s">
        <v>363</v>
      </c>
      <c r="E365" s="260" t="s">
        <v>970</v>
      </c>
      <c r="F365" s="260" t="s">
        <v>362</v>
      </c>
      <c r="G365" s="260" t="s">
        <v>960</v>
      </c>
      <c r="H365" s="261" t="s">
        <v>1027</v>
      </c>
      <c r="I365" s="230"/>
      <c r="J365" s="262">
        <v>1</v>
      </c>
      <c r="K365" s="263" t="s">
        <v>1029</v>
      </c>
      <c r="L365" s="264">
        <v>420000</v>
      </c>
      <c r="M365" s="265">
        <f>+J365*L365</f>
        <v>420000</v>
      </c>
      <c r="N365" s="262">
        <v>1</v>
      </c>
      <c r="O365" s="263" t="s">
        <v>1029</v>
      </c>
      <c r="P365" s="264">
        <v>420000</v>
      </c>
      <c r="Q365" s="266">
        <f t="shared" si="66"/>
        <v>420000</v>
      </c>
      <c r="R365" s="267">
        <f t="shared" si="63"/>
        <v>1</v>
      </c>
      <c r="S365" s="266">
        <f t="shared" si="67"/>
        <v>0</v>
      </c>
      <c r="T365" s="266">
        <f t="shared" si="68"/>
        <v>0</v>
      </c>
      <c r="U365" s="266">
        <f t="shared" si="69"/>
        <v>420000</v>
      </c>
      <c r="V365" s="266">
        <v>0</v>
      </c>
    </row>
    <row r="366" spans="1:22" ht="27.95" hidden="1" customHeight="1">
      <c r="A366" s="260">
        <v>1</v>
      </c>
      <c r="B366" s="269" t="s">
        <v>1002</v>
      </c>
      <c r="C366" s="269" t="s">
        <v>1040</v>
      </c>
      <c r="D366" s="260" t="s">
        <v>363</v>
      </c>
      <c r="E366" s="260" t="s">
        <v>970</v>
      </c>
      <c r="F366" s="260" t="s">
        <v>362</v>
      </c>
      <c r="G366" s="260" t="s">
        <v>1038</v>
      </c>
      <c r="H366" s="261" t="s">
        <v>1090</v>
      </c>
      <c r="I366" s="230"/>
      <c r="J366" s="262">
        <v>1</v>
      </c>
      <c r="K366" s="263" t="s">
        <v>1103</v>
      </c>
      <c r="L366" s="264">
        <v>900000</v>
      </c>
      <c r="M366" s="265">
        <f>+J366*L366</f>
        <v>900000</v>
      </c>
      <c r="N366" s="262">
        <v>1</v>
      </c>
      <c r="O366" s="263" t="s">
        <v>1103</v>
      </c>
      <c r="P366" s="264">
        <v>900000</v>
      </c>
      <c r="Q366" s="266">
        <f t="shared" si="66"/>
        <v>900000</v>
      </c>
      <c r="R366" s="267">
        <f t="shared" si="63"/>
        <v>1</v>
      </c>
      <c r="S366" s="266">
        <f t="shared" si="67"/>
        <v>0</v>
      </c>
      <c r="T366" s="266">
        <f t="shared" si="68"/>
        <v>0</v>
      </c>
      <c r="U366" s="266">
        <f t="shared" si="69"/>
        <v>900000</v>
      </c>
      <c r="V366" s="266">
        <v>0</v>
      </c>
    </row>
    <row r="367" spans="1:22" ht="27.95" hidden="1" customHeight="1">
      <c r="A367" s="260">
        <v>1</v>
      </c>
      <c r="B367" s="269" t="s">
        <v>1002</v>
      </c>
      <c r="C367" s="269" t="s">
        <v>1040</v>
      </c>
      <c r="D367" s="260" t="s">
        <v>363</v>
      </c>
      <c r="E367" s="260" t="s">
        <v>970</v>
      </c>
      <c r="F367" s="260" t="s">
        <v>362</v>
      </c>
      <c r="G367" s="260" t="s">
        <v>1040</v>
      </c>
      <c r="H367" s="261" t="s">
        <v>252</v>
      </c>
      <c r="I367" s="230"/>
      <c r="J367" s="262"/>
      <c r="K367" s="263"/>
      <c r="L367" s="264"/>
      <c r="M367" s="265"/>
      <c r="N367" s="266">
        <v>0</v>
      </c>
      <c r="O367" s="261"/>
      <c r="P367" s="266">
        <v>0</v>
      </c>
      <c r="Q367" s="266">
        <f t="shared" si="66"/>
        <v>0</v>
      </c>
      <c r="R367" s="267" t="str">
        <f t="shared" si="63"/>
        <v/>
      </c>
      <c r="S367" s="266">
        <f t="shared" si="67"/>
        <v>0</v>
      </c>
      <c r="T367" s="266">
        <f t="shared" si="68"/>
        <v>0</v>
      </c>
      <c r="U367" s="266">
        <f t="shared" si="69"/>
        <v>0</v>
      </c>
      <c r="V367" s="266">
        <v>0</v>
      </c>
    </row>
    <row r="368" spans="1:22" ht="27.95" hidden="1" customHeight="1">
      <c r="A368" s="229"/>
      <c r="B368" s="229"/>
      <c r="C368" s="229"/>
      <c r="D368" s="260"/>
      <c r="E368" s="260"/>
      <c r="F368" s="260"/>
      <c r="G368" s="260"/>
      <c r="H368" s="268" t="s">
        <v>1272</v>
      </c>
      <c r="I368" s="230"/>
      <c r="J368" s="262">
        <v>108</v>
      </c>
      <c r="K368" s="263" t="s">
        <v>1042</v>
      </c>
      <c r="L368" s="264">
        <v>35000</v>
      </c>
      <c r="M368" s="265">
        <f>+J368*L368</f>
        <v>3780000</v>
      </c>
      <c r="N368" s="262">
        <v>108</v>
      </c>
      <c r="O368" s="263" t="s">
        <v>1042</v>
      </c>
      <c r="P368" s="264">
        <v>35000</v>
      </c>
      <c r="Q368" s="266">
        <f t="shared" si="66"/>
        <v>3780000</v>
      </c>
      <c r="R368" s="267">
        <f t="shared" si="63"/>
        <v>1</v>
      </c>
      <c r="S368" s="266">
        <f t="shared" si="67"/>
        <v>0</v>
      </c>
      <c r="T368" s="266">
        <f t="shared" si="68"/>
        <v>0</v>
      </c>
      <c r="U368" s="266">
        <f t="shared" si="69"/>
        <v>3780000</v>
      </c>
      <c r="V368" s="266">
        <v>0</v>
      </c>
    </row>
    <row r="369" spans="1:22" ht="27.95" hidden="1" customHeight="1">
      <c r="A369" s="260"/>
      <c r="B369" s="260"/>
      <c r="C369" s="260"/>
      <c r="D369" s="260"/>
      <c r="E369" s="260"/>
      <c r="F369" s="260"/>
      <c r="G369" s="260"/>
      <c r="H369" s="268" t="s">
        <v>1273</v>
      </c>
      <c r="I369" s="230"/>
      <c r="J369" s="262">
        <v>120</v>
      </c>
      <c r="K369" s="263" t="s">
        <v>1042</v>
      </c>
      <c r="L369" s="264">
        <v>35000</v>
      </c>
      <c r="M369" s="265">
        <f>+J369*L369</f>
        <v>4200000</v>
      </c>
      <c r="N369" s="262">
        <v>120</v>
      </c>
      <c r="O369" s="263" t="s">
        <v>1042</v>
      </c>
      <c r="P369" s="264">
        <v>35000</v>
      </c>
      <c r="Q369" s="266">
        <f t="shared" si="66"/>
        <v>4200000</v>
      </c>
      <c r="R369" s="267">
        <f t="shared" si="63"/>
        <v>1</v>
      </c>
      <c r="S369" s="266">
        <f t="shared" si="67"/>
        <v>0</v>
      </c>
      <c r="T369" s="266">
        <f t="shared" si="68"/>
        <v>0</v>
      </c>
      <c r="U369" s="266">
        <f t="shared" si="69"/>
        <v>4200000</v>
      </c>
      <c r="V369" s="266">
        <v>0</v>
      </c>
    </row>
    <row r="370" spans="1:22" ht="27.95" hidden="1" customHeight="1">
      <c r="A370" s="260">
        <v>1</v>
      </c>
      <c r="B370" s="269" t="s">
        <v>1002</v>
      </c>
      <c r="C370" s="269" t="s">
        <v>1040</v>
      </c>
      <c r="D370" s="260">
        <v>5</v>
      </c>
      <c r="E370" s="260">
        <v>2</v>
      </c>
      <c r="F370" s="260">
        <v>1</v>
      </c>
      <c r="G370" s="260">
        <v>99</v>
      </c>
      <c r="H370" s="261" t="s">
        <v>258</v>
      </c>
      <c r="I370" s="238"/>
      <c r="J370" s="262"/>
      <c r="K370" s="263"/>
      <c r="L370" s="264"/>
      <c r="M370" s="265">
        <f>M371</f>
        <v>900000</v>
      </c>
      <c r="N370" s="266">
        <v>0</v>
      </c>
      <c r="O370" s="261"/>
      <c r="P370" s="266">
        <v>0</v>
      </c>
      <c r="Q370" s="266">
        <f t="shared" si="66"/>
        <v>0</v>
      </c>
      <c r="R370" s="267" t="str">
        <f t="shared" si="63"/>
        <v/>
      </c>
      <c r="S370" s="266">
        <f t="shared" si="67"/>
        <v>0</v>
      </c>
      <c r="T370" s="266">
        <f t="shared" si="68"/>
        <v>0</v>
      </c>
      <c r="U370" s="266">
        <f t="shared" si="69"/>
        <v>0</v>
      </c>
      <c r="V370" s="266">
        <v>0</v>
      </c>
    </row>
    <row r="371" spans="1:22" ht="27.95" hidden="1" customHeight="1">
      <c r="A371" s="229"/>
      <c r="B371" s="229"/>
      <c r="C371" s="229"/>
      <c r="D371" s="260"/>
      <c r="E371" s="260"/>
      <c r="F371" s="260"/>
      <c r="G371" s="269"/>
      <c r="H371" s="261" t="s">
        <v>1274</v>
      </c>
      <c r="I371" s="238"/>
      <c r="J371" s="262">
        <v>36</v>
      </c>
      <c r="K371" s="263" t="s">
        <v>1275</v>
      </c>
      <c r="L371" s="264">
        <v>25000</v>
      </c>
      <c r="M371" s="265">
        <f>+J371*L371</f>
        <v>900000</v>
      </c>
      <c r="N371" s="262">
        <v>36</v>
      </c>
      <c r="O371" s="263" t="s">
        <v>1275</v>
      </c>
      <c r="P371" s="264">
        <v>25000</v>
      </c>
      <c r="Q371" s="266">
        <f t="shared" si="66"/>
        <v>900000</v>
      </c>
      <c r="R371" s="267">
        <f t="shared" si="63"/>
        <v>1</v>
      </c>
      <c r="S371" s="266">
        <f t="shared" si="67"/>
        <v>0</v>
      </c>
      <c r="T371" s="266">
        <f t="shared" si="68"/>
        <v>0</v>
      </c>
      <c r="U371" s="266">
        <f t="shared" si="69"/>
        <v>900000</v>
      </c>
      <c r="V371" s="266">
        <v>0</v>
      </c>
    </row>
    <row r="372" spans="1:22" ht="27.95" customHeight="1">
      <c r="A372" s="229" t="s">
        <v>362</v>
      </c>
      <c r="B372" s="229" t="s">
        <v>1002</v>
      </c>
      <c r="C372" s="270" t="s">
        <v>1094</v>
      </c>
      <c r="D372" s="229"/>
      <c r="E372" s="229"/>
      <c r="F372" s="229"/>
      <c r="G372" s="229" t="s">
        <v>959</v>
      </c>
      <c r="H372" s="238" t="s">
        <v>1276</v>
      </c>
      <c r="I372" s="238" t="s">
        <v>1277</v>
      </c>
      <c r="J372" s="239"/>
      <c r="K372" s="240">
        <v>1</v>
      </c>
      <c r="L372" s="241" t="s">
        <v>1538</v>
      </c>
      <c r="M372" s="234">
        <f>+M373</f>
        <v>2025000</v>
      </c>
      <c r="N372" s="266">
        <v>0</v>
      </c>
      <c r="O372" s="240">
        <v>1</v>
      </c>
      <c r="P372" s="241" t="s">
        <v>1538</v>
      </c>
      <c r="Q372" s="234">
        <f>+Q373</f>
        <v>2025000</v>
      </c>
      <c r="R372" s="236">
        <f>Q372/M372*100%</f>
        <v>1</v>
      </c>
      <c r="S372" s="234">
        <f>+S373</f>
        <v>0</v>
      </c>
      <c r="T372" s="234">
        <f>+T373</f>
        <v>0</v>
      </c>
      <c r="U372" s="234">
        <f>+U373</f>
        <v>2025000</v>
      </c>
      <c r="V372" s="234">
        <f>+V373</f>
        <v>0</v>
      </c>
    </row>
    <row r="373" spans="1:22" ht="27.95" hidden="1" customHeight="1">
      <c r="A373" s="260" t="s">
        <v>362</v>
      </c>
      <c r="B373" s="260" t="s">
        <v>1002</v>
      </c>
      <c r="C373" s="269" t="s">
        <v>1094</v>
      </c>
      <c r="D373" s="244" t="s">
        <v>363</v>
      </c>
      <c r="E373" s="244" t="s">
        <v>970</v>
      </c>
      <c r="F373" s="244" t="s">
        <v>959</v>
      </c>
      <c r="G373" s="244" t="s">
        <v>959</v>
      </c>
      <c r="H373" s="289" t="s">
        <v>133</v>
      </c>
      <c r="I373" s="238"/>
      <c r="J373" s="246"/>
      <c r="K373" s="247"/>
      <c r="L373" s="248"/>
      <c r="M373" s="249">
        <f>M374+M377</f>
        <v>2025000</v>
      </c>
      <c r="N373" s="266">
        <v>0</v>
      </c>
      <c r="O373" s="261"/>
      <c r="P373" s="266">
        <v>0</v>
      </c>
      <c r="Q373" s="249">
        <f>Q374+Q377</f>
        <v>2025000</v>
      </c>
      <c r="R373" s="267" t="str">
        <f t="shared" si="63"/>
        <v/>
      </c>
      <c r="S373" s="249">
        <f>S374+S377</f>
        <v>0</v>
      </c>
      <c r="T373" s="249">
        <f>T374+T377</f>
        <v>0</v>
      </c>
      <c r="U373" s="249">
        <f>U374+U377</f>
        <v>2025000</v>
      </c>
      <c r="V373" s="249">
        <f>V374+V377</f>
        <v>0</v>
      </c>
    </row>
    <row r="374" spans="1:22" ht="27.95" hidden="1" customHeight="1">
      <c r="A374" s="229">
        <v>1</v>
      </c>
      <c r="B374" s="270" t="s">
        <v>1002</v>
      </c>
      <c r="C374" s="270" t="s">
        <v>1094</v>
      </c>
      <c r="D374" s="252" t="s">
        <v>363</v>
      </c>
      <c r="E374" s="252" t="s">
        <v>970</v>
      </c>
      <c r="F374" s="252" t="s">
        <v>362</v>
      </c>
      <c r="G374" s="252" t="s">
        <v>959</v>
      </c>
      <c r="H374" s="288" t="s">
        <v>134</v>
      </c>
      <c r="I374" s="238"/>
      <c r="J374" s="254"/>
      <c r="K374" s="255"/>
      <c r="L374" s="256"/>
      <c r="M374" s="257">
        <f>SUM(M375:M376)</f>
        <v>300000</v>
      </c>
      <c r="N374" s="266">
        <v>0</v>
      </c>
      <c r="O374" s="261"/>
      <c r="P374" s="266">
        <v>0</v>
      </c>
      <c r="Q374" s="257">
        <f>SUM(Q375:Q376)</f>
        <v>300000</v>
      </c>
      <c r="R374" s="267" t="str">
        <f t="shared" si="63"/>
        <v/>
      </c>
      <c r="S374" s="257">
        <f>SUM(S375:S376)</f>
        <v>0</v>
      </c>
      <c r="T374" s="257">
        <f>SUM(T375:T376)</f>
        <v>0</v>
      </c>
      <c r="U374" s="257">
        <f>SUM(U375:U376)</f>
        <v>300000</v>
      </c>
      <c r="V374" s="257">
        <f>SUM(V375:V376)</f>
        <v>0</v>
      </c>
    </row>
    <row r="375" spans="1:22" ht="27.95" hidden="1" customHeight="1">
      <c r="A375" s="260">
        <v>1</v>
      </c>
      <c r="B375" s="269" t="s">
        <v>1002</v>
      </c>
      <c r="C375" s="269" t="s">
        <v>1094</v>
      </c>
      <c r="D375" s="260" t="s">
        <v>363</v>
      </c>
      <c r="E375" s="260" t="s">
        <v>970</v>
      </c>
      <c r="F375" s="260" t="s">
        <v>362</v>
      </c>
      <c r="G375" s="260" t="s">
        <v>960</v>
      </c>
      <c r="H375" s="278" t="s">
        <v>245</v>
      </c>
      <c r="I375" s="238"/>
      <c r="J375" s="262">
        <v>1</v>
      </c>
      <c r="K375" s="263" t="s">
        <v>1029</v>
      </c>
      <c r="L375" s="264">
        <v>150000</v>
      </c>
      <c r="M375" s="265">
        <f>+J375*L375</f>
        <v>150000</v>
      </c>
      <c r="N375" s="262">
        <v>1</v>
      </c>
      <c r="O375" s="263" t="s">
        <v>1029</v>
      </c>
      <c r="P375" s="264">
        <v>150000</v>
      </c>
      <c r="Q375" s="266">
        <f>+N375*P375</f>
        <v>150000</v>
      </c>
      <c r="R375" s="267">
        <f t="shared" si="63"/>
        <v>1</v>
      </c>
      <c r="S375" s="266">
        <f>+IF(W375="DDS",Q375,0)</f>
        <v>0</v>
      </c>
      <c r="T375" s="266">
        <f>+IF(W375="ADD",Q375,0)</f>
        <v>0</v>
      </c>
      <c r="U375" s="266">
        <f>+IF(W375="DDS",0,IF(W375="ADD",0,Q375))</f>
        <v>150000</v>
      </c>
      <c r="V375" s="266">
        <v>0</v>
      </c>
    </row>
    <row r="376" spans="1:22" ht="27.95" hidden="1" customHeight="1">
      <c r="A376" s="229">
        <v>1</v>
      </c>
      <c r="B376" s="270" t="s">
        <v>1002</v>
      </c>
      <c r="C376" s="270" t="s">
        <v>1094</v>
      </c>
      <c r="D376" s="260" t="s">
        <v>363</v>
      </c>
      <c r="E376" s="260" t="s">
        <v>970</v>
      </c>
      <c r="F376" s="260" t="s">
        <v>362</v>
      </c>
      <c r="G376" s="269" t="s">
        <v>1038</v>
      </c>
      <c r="H376" s="278" t="s">
        <v>251</v>
      </c>
      <c r="I376" s="238"/>
      <c r="J376" s="262">
        <v>1</v>
      </c>
      <c r="K376" s="263" t="s">
        <v>1029</v>
      </c>
      <c r="L376" s="264">
        <v>150000</v>
      </c>
      <c r="M376" s="265">
        <f>+J376*L376</f>
        <v>150000</v>
      </c>
      <c r="N376" s="262">
        <v>1</v>
      </c>
      <c r="O376" s="263" t="s">
        <v>1029</v>
      </c>
      <c r="P376" s="264">
        <v>150000</v>
      </c>
      <c r="Q376" s="266">
        <f>+N376*P376</f>
        <v>150000</v>
      </c>
      <c r="R376" s="267">
        <f t="shared" si="63"/>
        <v>1</v>
      </c>
      <c r="S376" s="266">
        <f>+IF(W376="DDS",Q376,0)</f>
        <v>0</v>
      </c>
      <c r="T376" s="266">
        <f>+IF(W376="ADD",Q376,0)</f>
        <v>0</v>
      </c>
      <c r="U376" s="266">
        <f>+IF(W376="DDS",0,IF(W376="ADD",0,Q376))</f>
        <v>150000</v>
      </c>
      <c r="V376" s="266">
        <v>0</v>
      </c>
    </row>
    <row r="377" spans="1:22" ht="27.95" hidden="1" customHeight="1">
      <c r="A377" s="260">
        <v>1</v>
      </c>
      <c r="B377" s="269" t="s">
        <v>1002</v>
      </c>
      <c r="C377" s="269" t="s">
        <v>1094</v>
      </c>
      <c r="D377" s="229">
        <v>5</v>
      </c>
      <c r="E377" s="229">
        <v>2</v>
      </c>
      <c r="F377" s="229">
        <v>2</v>
      </c>
      <c r="G377" s="260"/>
      <c r="H377" s="230" t="s">
        <v>1278</v>
      </c>
      <c r="I377" s="238"/>
      <c r="J377" s="262"/>
      <c r="K377" s="263"/>
      <c r="L377" s="264"/>
      <c r="M377" s="234">
        <f>M378</f>
        <v>1725000</v>
      </c>
      <c r="N377" s="262"/>
      <c r="O377" s="263"/>
      <c r="P377" s="264"/>
      <c r="Q377" s="234">
        <f>Q378</f>
        <v>1725000</v>
      </c>
      <c r="R377" s="267" t="str">
        <f t="shared" si="63"/>
        <v/>
      </c>
      <c r="S377" s="266">
        <f t="shared" si="67"/>
        <v>0</v>
      </c>
      <c r="T377" s="266">
        <f t="shared" si="68"/>
        <v>0</v>
      </c>
      <c r="U377" s="266">
        <f t="shared" si="69"/>
        <v>1725000</v>
      </c>
      <c r="V377" s="266">
        <v>0</v>
      </c>
    </row>
    <row r="378" spans="1:22" ht="27.95" hidden="1" customHeight="1">
      <c r="A378" s="260">
        <v>1</v>
      </c>
      <c r="B378" s="269" t="s">
        <v>1002</v>
      </c>
      <c r="C378" s="269" t="s">
        <v>1094</v>
      </c>
      <c r="D378" s="260">
        <v>5</v>
      </c>
      <c r="E378" s="260">
        <v>2</v>
      </c>
      <c r="F378" s="260">
        <v>2</v>
      </c>
      <c r="G378" s="269" t="s">
        <v>960</v>
      </c>
      <c r="H378" s="278" t="s">
        <v>1279</v>
      </c>
      <c r="I378" s="238"/>
      <c r="J378" s="262">
        <v>1</v>
      </c>
      <c r="K378" s="263" t="s">
        <v>966</v>
      </c>
      <c r="L378" s="264">
        <v>1725000</v>
      </c>
      <c r="M378" s="265">
        <f>+J378*L378</f>
        <v>1725000</v>
      </c>
      <c r="N378" s="262">
        <v>1</v>
      </c>
      <c r="O378" s="263" t="s">
        <v>966</v>
      </c>
      <c r="P378" s="264">
        <v>1725000</v>
      </c>
      <c r="Q378" s="266">
        <f t="shared" si="66"/>
        <v>1725000</v>
      </c>
      <c r="R378" s="267">
        <f t="shared" si="63"/>
        <v>1</v>
      </c>
      <c r="S378" s="266">
        <f t="shared" si="67"/>
        <v>0</v>
      </c>
      <c r="T378" s="266">
        <f t="shared" si="68"/>
        <v>0</v>
      </c>
      <c r="U378" s="266">
        <f t="shared" si="69"/>
        <v>1725000</v>
      </c>
      <c r="V378" s="266">
        <v>0</v>
      </c>
    </row>
    <row r="379" spans="1:22" ht="27.95" customHeight="1">
      <c r="A379" s="229" t="s">
        <v>362</v>
      </c>
      <c r="B379" s="229" t="s">
        <v>1002</v>
      </c>
      <c r="C379" s="229" t="s">
        <v>1043</v>
      </c>
      <c r="D379" s="229"/>
      <c r="E379" s="229"/>
      <c r="F379" s="229"/>
      <c r="G379" s="229" t="s">
        <v>959</v>
      </c>
      <c r="H379" s="230" t="s">
        <v>112</v>
      </c>
      <c r="I379" s="238" t="s">
        <v>1280</v>
      </c>
      <c r="J379" s="239"/>
      <c r="K379" s="232">
        <v>2</v>
      </c>
      <c r="L379" s="241" t="s">
        <v>1538</v>
      </c>
      <c r="M379" s="234">
        <f>M380+M396+M402</f>
        <v>26184759</v>
      </c>
      <c r="N379" s="266">
        <v>0</v>
      </c>
      <c r="O379" s="232">
        <v>2</v>
      </c>
      <c r="P379" s="241" t="s">
        <v>1538</v>
      </c>
      <c r="Q379" s="234">
        <f>Q381+Q389+Q402</f>
        <v>7275000</v>
      </c>
      <c r="R379" s="236">
        <f>Q379/M379*100%</f>
        <v>0.2778333762781624</v>
      </c>
      <c r="S379" s="234">
        <f>S380+S396+S402</f>
        <v>0</v>
      </c>
      <c r="T379" s="234">
        <f>T380+T396+T402</f>
        <v>0</v>
      </c>
      <c r="U379" s="234">
        <f>U380+U396+U402</f>
        <v>7275000</v>
      </c>
      <c r="V379" s="234">
        <f>V380+V396+V402</f>
        <v>0</v>
      </c>
    </row>
    <row r="380" spans="1:22" ht="27.95" hidden="1" customHeight="1">
      <c r="A380" s="260">
        <v>1</v>
      </c>
      <c r="B380" s="269" t="s">
        <v>1002</v>
      </c>
      <c r="C380" s="260" t="s">
        <v>1043</v>
      </c>
      <c r="D380" s="244" t="s">
        <v>363</v>
      </c>
      <c r="E380" s="244" t="s">
        <v>970</v>
      </c>
      <c r="F380" s="244" t="s">
        <v>959</v>
      </c>
      <c r="G380" s="244" t="s">
        <v>959</v>
      </c>
      <c r="H380" s="289" t="s">
        <v>133</v>
      </c>
      <c r="I380" s="238"/>
      <c r="J380" s="246"/>
      <c r="K380" s="247"/>
      <c r="L380" s="248"/>
      <c r="M380" s="249">
        <f>+M381+M389</f>
        <v>6675000</v>
      </c>
      <c r="N380" s="266">
        <v>0</v>
      </c>
      <c r="O380" s="261"/>
      <c r="P380" s="266">
        <v>0</v>
      </c>
      <c r="Q380" s="249">
        <f>+Q381+Q389+Q402</f>
        <v>7275000</v>
      </c>
      <c r="R380" s="267" t="str">
        <f t="shared" si="63"/>
        <v/>
      </c>
      <c r="S380" s="249">
        <f>+S381+S389</f>
        <v>0</v>
      </c>
      <c r="T380" s="249">
        <f>+T381+T389</f>
        <v>0</v>
      </c>
      <c r="U380" s="249">
        <f>+U381+U389</f>
        <v>6375000</v>
      </c>
      <c r="V380" s="249">
        <f>+V381+V389</f>
        <v>0</v>
      </c>
    </row>
    <row r="381" spans="1:22" ht="27.95" hidden="1" customHeight="1">
      <c r="A381" s="260">
        <v>1</v>
      </c>
      <c r="B381" s="269" t="s">
        <v>1002</v>
      </c>
      <c r="C381" s="229" t="s">
        <v>1043</v>
      </c>
      <c r="D381" s="252" t="s">
        <v>363</v>
      </c>
      <c r="E381" s="252" t="s">
        <v>970</v>
      </c>
      <c r="F381" s="252" t="s">
        <v>362</v>
      </c>
      <c r="G381" s="252" t="s">
        <v>959</v>
      </c>
      <c r="H381" s="288" t="s">
        <v>134</v>
      </c>
      <c r="I381" s="238"/>
      <c r="J381" s="254"/>
      <c r="K381" s="255"/>
      <c r="L381" s="256"/>
      <c r="M381" s="257">
        <f>+SUM(M382:M388)</f>
        <v>2075000</v>
      </c>
      <c r="N381" s="266">
        <v>0</v>
      </c>
      <c r="O381" s="261"/>
      <c r="P381" s="266">
        <v>0</v>
      </c>
      <c r="Q381" s="257">
        <f>+SUM(Q382:Q388)</f>
        <v>1775000</v>
      </c>
      <c r="R381" s="267" t="str">
        <f t="shared" si="63"/>
        <v/>
      </c>
      <c r="S381" s="257">
        <f>+SUM(S382:S388)</f>
        <v>0</v>
      </c>
      <c r="T381" s="257">
        <f>+SUM(T382:T388)</f>
        <v>0</v>
      </c>
      <c r="U381" s="257">
        <f>+SUM(U382:U388)</f>
        <v>1775000</v>
      </c>
      <c r="V381" s="257">
        <f>+SUM(V382:V388)</f>
        <v>0</v>
      </c>
    </row>
    <row r="382" spans="1:22" ht="27.95" hidden="1" customHeight="1">
      <c r="A382" s="260">
        <v>1</v>
      </c>
      <c r="B382" s="269" t="s">
        <v>1002</v>
      </c>
      <c r="C382" s="260" t="s">
        <v>1043</v>
      </c>
      <c r="D382" s="260" t="s">
        <v>363</v>
      </c>
      <c r="E382" s="260" t="s">
        <v>970</v>
      </c>
      <c r="F382" s="260" t="s">
        <v>362</v>
      </c>
      <c r="G382" s="260" t="s">
        <v>1038</v>
      </c>
      <c r="H382" s="278" t="s">
        <v>251</v>
      </c>
      <c r="I382" s="238"/>
      <c r="J382" s="262"/>
      <c r="K382" s="263"/>
      <c r="L382" s="264"/>
      <c r="M382" s="265"/>
      <c r="N382" s="266">
        <v>0</v>
      </c>
      <c r="O382" s="261"/>
      <c r="P382" s="266">
        <v>0</v>
      </c>
      <c r="Q382" s="266">
        <f t="shared" si="66"/>
        <v>0</v>
      </c>
      <c r="R382" s="267" t="str">
        <f t="shared" si="63"/>
        <v/>
      </c>
      <c r="S382" s="266">
        <f t="shared" si="67"/>
        <v>0</v>
      </c>
      <c r="T382" s="266">
        <f t="shared" si="68"/>
        <v>0</v>
      </c>
      <c r="U382" s="266">
        <f t="shared" si="69"/>
        <v>0</v>
      </c>
      <c r="V382" s="266">
        <v>0</v>
      </c>
    </row>
    <row r="383" spans="1:22" ht="27.95" hidden="1" customHeight="1">
      <c r="A383" s="260"/>
      <c r="B383" s="260"/>
      <c r="C383" s="260"/>
      <c r="D383" s="260"/>
      <c r="E383" s="260"/>
      <c r="F383" s="260"/>
      <c r="G383" s="260"/>
      <c r="H383" s="290" t="s">
        <v>1281</v>
      </c>
      <c r="I383" s="230"/>
      <c r="J383" s="262">
        <v>1</v>
      </c>
      <c r="K383" s="263" t="s">
        <v>1029</v>
      </c>
      <c r="L383" s="264">
        <v>200000</v>
      </c>
      <c r="M383" s="265">
        <f>+J383*L383</f>
        <v>200000</v>
      </c>
      <c r="N383" s="266">
        <v>0</v>
      </c>
      <c r="O383" s="261"/>
      <c r="P383" s="266">
        <v>0</v>
      </c>
      <c r="Q383" s="266">
        <f t="shared" si="66"/>
        <v>0</v>
      </c>
      <c r="R383" s="267">
        <f t="shared" si="63"/>
        <v>0</v>
      </c>
      <c r="S383" s="266">
        <f t="shared" si="67"/>
        <v>0</v>
      </c>
      <c r="T383" s="266">
        <f t="shared" si="68"/>
        <v>0</v>
      </c>
      <c r="U383" s="266">
        <f t="shared" si="69"/>
        <v>0</v>
      </c>
      <c r="V383" s="266">
        <v>0</v>
      </c>
    </row>
    <row r="384" spans="1:22" ht="27.95" hidden="1" customHeight="1">
      <c r="A384" s="229"/>
      <c r="B384" s="270"/>
      <c r="C384" s="270"/>
      <c r="D384" s="260"/>
      <c r="E384" s="260"/>
      <c r="F384" s="260"/>
      <c r="G384" s="260"/>
      <c r="H384" s="290" t="s">
        <v>1282</v>
      </c>
      <c r="I384" s="230"/>
      <c r="J384" s="262">
        <v>1</v>
      </c>
      <c r="K384" s="263" t="s">
        <v>1029</v>
      </c>
      <c r="L384" s="264">
        <v>75000</v>
      </c>
      <c r="M384" s="265">
        <f>+J384*L384</f>
        <v>75000</v>
      </c>
      <c r="N384" s="262">
        <v>1</v>
      </c>
      <c r="O384" s="263" t="s">
        <v>1029</v>
      </c>
      <c r="P384" s="264">
        <v>75000</v>
      </c>
      <c r="Q384" s="265">
        <f>+N384*P384</f>
        <v>75000</v>
      </c>
      <c r="R384" s="267">
        <f t="shared" si="63"/>
        <v>1</v>
      </c>
      <c r="S384" s="266">
        <f t="shared" si="67"/>
        <v>0</v>
      </c>
      <c r="T384" s="266">
        <f t="shared" si="68"/>
        <v>0</v>
      </c>
      <c r="U384" s="266">
        <f t="shared" si="69"/>
        <v>75000</v>
      </c>
      <c r="V384" s="266">
        <v>0</v>
      </c>
    </row>
    <row r="385" spans="1:22" ht="27.95" hidden="1" customHeight="1">
      <c r="A385" s="260">
        <v>1</v>
      </c>
      <c r="B385" s="269" t="s">
        <v>1002</v>
      </c>
      <c r="C385" s="260" t="s">
        <v>1043</v>
      </c>
      <c r="D385" s="260" t="s">
        <v>363</v>
      </c>
      <c r="E385" s="260" t="s">
        <v>970</v>
      </c>
      <c r="F385" s="260" t="s">
        <v>362</v>
      </c>
      <c r="G385" s="260" t="s">
        <v>1040</v>
      </c>
      <c r="H385" s="278" t="s">
        <v>252</v>
      </c>
      <c r="I385" s="230"/>
      <c r="J385" s="262"/>
      <c r="K385" s="263"/>
      <c r="L385" s="264"/>
      <c r="M385" s="265"/>
      <c r="N385" s="266">
        <v>0</v>
      </c>
      <c r="O385" s="261"/>
      <c r="P385" s="266">
        <v>0</v>
      </c>
      <c r="Q385" s="266">
        <f t="shared" si="66"/>
        <v>0</v>
      </c>
      <c r="R385" s="267" t="str">
        <f t="shared" si="63"/>
        <v/>
      </c>
      <c r="S385" s="266">
        <f t="shared" si="67"/>
        <v>0</v>
      </c>
      <c r="T385" s="266">
        <f t="shared" si="68"/>
        <v>0</v>
      </c>
      <c r="U385" s="266">
        <f t="shared" si="69"/>
        <v>0</v>
      </c>
      <c r="V385" s="266">
        <v>0</v>
      </c>
    </row>
    <row r="386" spans="1:22" ht="27.95" hidden="1" customHeight="1">
      <c r="A386" s="229"/>
      <c r="B386" s="229"/>
      <c r="C386" s="229"/>
      <c r="D386" s="260"/>
      <c r="E386" s="260"/>
      <c r="F386" s="260"/>
      <c r="G386" s="260"/>
      <c r="H386" s="290" t="s">
        <v>1283</v>
      </c>
      <c r="I386" s="238"/>
      <c r="J386" s="262">
        <v>40</v>
      </c>
      <c r="K386" s="263" t="s">
        <v>1042</v>
      </c>
      <c r="L386" s="264">
        <v>10000</v>
      </c>
      <c r="M386" s="265">
        <f>+J386*L386</f>
        <v>400000</v>
      </c>
      <c r="N386" s="262">
        <v>30</v>
      </c>
      <c r="O386" s="263" t="s">
        <v>1042</v>
      </c>
      <c r="P386" s="264">
        <v>10000</v>
      </c>
      <c r="Q386" s="265">
        <f>+N386*P386</f>
        <v>300000</v>
      </c>
      <c r="R386" s="267">
        <f t="shared" si="63"/>
        <v>0.75</v>
      </c>
      <c r="S386" s="266">
        <f t="shared" si="67"/>
        <v>0</v>
      </c>
      <c r="T386" s="266">
        <f t="shared" si="68"/>
        <v>0</v>
      </c>
      <c r="U386" s="266">
        <f t="shared" si="69"/>
        <v>300000</v>
      </c>
      <c r="V386" s="266">
        <v>0</v>
      </c>
    </row>
    <row r="387" spans="1:22" ht="27.95" hidden="1" customHeight="1">
      <c r="A387" s="260"/>
      <c r="B387" s="260"/>
      <c r="C387" s="260"/>
      <c r="D387" s="260"/>
      <c r="E387" s="260"/>
      <c r="F387" s="260"/>
      <c r="G387" s="260"/>
      <c r="H387" s="290" t="s">
        <v>1284</v>
      </c>
      <c r="I387" s="238"/>
      <c r="J387" s="262">
        <v>40</v>
      </c>
      <c r="K387" s="263" t="s">
        <v>1042</v>
      </c>
      <c r="L387" s="264">
        <v>35000</v>
      </c>
      <c r="M387" s="265">
        <f>+J387*L387</f>
        <v>1400000</v>
      </c>
      <c r="N387" s="262">
        <v>40</v>
      </c>
      <c r="O387" s="263" t="s">
        <v>1042</v>
      </c>
      <c r="P387" s="264">
        <v>35000</v>
      </c>
      <c r="Q387" s="265">
        <f>+N387*P387</f>
        <v>1400000</v>
      </c>
      <c r="R387" s="267">
        <f t="shared" si="63"/>
        <v>1</v>
      </c>
      <c r="S387" s="266">
        <f t="shared" si="67"/>
        <v>0</v>
      </c>
      <c r="T387" s="266">
        <f t="shared" si="68"/>
        <v>0</v>
      </c>
      <c r="U387" s="266">
        <f t="shared" si="69"/>
        <v>1400000</v>
      </c>
      <c r="V387" s="266">
        <v>0</v>
      </c>
    </row>
    <row r="388" spans="1:22" ht="27.95" hidden="1" customHeight="1">
      <c r="A388" s="229"/>
      <c r="B388" s="229"/>
      <c r="C388" s="229"/>
      <c r="D388" s="260"/>
      <c r="E388" s="260"/>
      <c r="F388" s="260"/>
      <c r="G388" s="260"/>
      <c r="H388" s="290" t="s">
        <v>1285</v>
      </c>
      <c r="I388" s="238"/>
      <c r="J388" s="262">
        <v>0</v>
      </c>
      <c r="K388" s="263" t="s">
        <v>1042</v>
      </c>
      <c r="L388" s="264">
        <v>10000</v>
      </c>
      <c r="M388" s="265">
        <f>+J388*L388</f>
        <v>0</v>
      </c>
      <c r="N388" s="266">
        <v>0</v>
      </c>
      <c r="O388" s="261"/>
      <c r="P388" s="266">
        <v>0</v>
      </c>
      <c r="Q388" s="266">
        <f t="shared" si="66"/>
        <v>0</v>
      </c>
      <c r="R388" s="267" t="e">
        <f t="shared" si="63"/>
        <v>#DIV/0!</v>
      </c>
      <c r="S388" s="266">
        <f t="shared" si="67"/>
        <v>0</v>
      </c>
      <c r="T388" s="266">
        <f t="shared" si="68"/>
        <v>0</v>
      </c>
      <c r="U388" s="266">
        <f t="shared" si="69"/>
        <v>0</v>
      </c>
      <c r="V388" s="266">
        <v>0</v>
      </c>
    </row>
    <row r="389" spans="1:22" ht="27.95" hidden="1" customHeight="1">
      <c r="A389" s="229" t="s">
        <v>362</v>
      </c>
      <c r="B389" s="229" t="s">
        <v>1002</v>
      </c>
      <c r="C389" s="270" t="s">
        <v>1043</v>
      </c>
      <c r="D389" s="252" t="s">
        <v>363</v>
      </c>
      <c r="E389" s="252" t="s">
        <v>970</v>
      </c>
      <c r="F389" s="252" t="s">
        <v>970</v>
      </c>
      <c r="G389" s="252" t="s">
        <v>959</v>
      </c>
      <c r="H389" s="288" t="s">
        <v>135</v>
      </c>
      <c r="I389" s="238"/>
      <c r="J389" s="254"/>
      <c r="K389" s="255"/>
      <c r="L389" s="256"/>
      <c r="M389" s="257">
        <f>+SUM(M390:M395)</f>
        <v>4600000</v>
      </c>
      <c r="N389" s="266">
        <v>0</v>
      </c>
      <c r="O389" s="261"/>
      <c r="P389" s="266">
        <v>0</v>
      </c>
      <c r="Q389" s="257">
        <f>+SUM(Q390:Q395)</f>
        <v>4600000</v>
      </c>
      <c r="R389" s="267" t="str">
        <f t="shared" si="63"/>
        <v/>
      </c>
      <c r="S389" s="242">
        <f t="shared" si="67"/>
        <v>0</v>
      </c>
      <c r="T389" s="266">
        <f t="shared" si="68"/>
        <v>0</v>
      </c>
      <c r="U389" s="266">
        <f t="shared" si="69"/>
        <v>4600000</v>
      </c>
      <c r="V389" s="266">
        <v>0</v>
      </c>
    </row>
    <row r="390" spans="1:22" ht="27.95" hidden="1" customHeight="1">
      <c r="A390" s="260" t="s">
        <v>362</v>
      </c>
      <c r="B390" s="260" t="s">
        <v>1002</v>
      </c>
      <c r="C390" s="269" t="s">
        <v>1043</v>
      </c>
      <c r="D390" s="260" t="s">
        <v>363</v>
      </c>
      <c r="E390" s="260" t="s">
        <v>970</v>
      </c>
      <c r="F390" s="260" t="s">
        <v>970</v>
      </c>
      <c r="G390" s="269" t="s">
        <v>963</v>
      </c>
      <c r="H390" s="278" t="s">
        <v>1286</v>
      </c>
      <c r="I390" s="238"/>
      <c r="J390" s="262"/>
      <c r="K390" s="263"/>
      <c r="L390" s="264"/>
      <c r="M390" s="265"/>
      <c r="N390" s="266">
        <v>0</v>
      </c>
      <c r="O390" s="261"/>
      <c r="P390" s="266">
        <v>0</v>
      </c>
      <c r="Q390" s="266">
        <f t="shared" si="66"/>
        <v>0</v>
      </c>
      <c r="R390" s="267" t="str">
        <f t="shared" si="63"/>
        <v/>
      </c>
      <c r="S390" s="266">
        <f t="shared" si="67"/>
        <v>0</v>
      </c>
      <c r="T390" s="266">
        <f t="shared" si="68"/>
        <v>0</v>
      </c>
      <c r="U390" s="266">
        <f t="shared" si="69"/>
        <v>0</v>
      </c>
      <c r="V390" s="266">
        <v>0</v>
      </c>
    </row>
    <row r="391" spans="1:22" ht="27.95" hidden="1" customHeight="1">
      <c r="A391" s="260"/>
      <c r="B391" s="260"/>
      <c r="C391" s="260"/>
      <c r="D391" s="260"/>
      <c r="E391" s="260"/>
      <c r="F391" s="260"/>
      <c r="G391" s="260"/>
      <c r="H391" s="290" t="s">
        <v>1287</v>
      </c>
      <c r="I391" s="238"/>
      <c r="J391" s="262">
        <v>8</v>
      </c>
      <c r="K391" s="263" t="s">
        <v>966</v>
      </c>
      <c r="L391" s="264">
        <v>200000</v>
      </c>
      <c r="M391" s="265">
        <f>+J391*L391</f>
        <v>1600000</v>
      </c>
      <c r="N391" s="266">
        <f>4+4</f>
        <v>8</v>
      </c>
      <c r="O391" s="263" t="s">
        <v>966</v>
      </c>
      <c r="P391" s="264">
        <v>200000</v>
      </c>
      <c r="Q391" s="266">
        <f t="shared" si="66"/>
        <v>1600000</v>
      </c>
      <c r="R391" s="267">
        <f t="shared" si="63"/>
        <v>1</v>
      </c>
      <c r="S391" s="266">
        <f t="shared" si="67"/>
        <v>0</v>
      </c>
      <c r="T391" s="266">
        <f t="shared" si="68"/>
        <v>0</v>
      </c>
      <c r="U391" s="266">
        <f t="shared" si="69"/>
        <v>1600000</v>
      </c>
      <c r="V391" s="266">
        <v>0</v>
      </c>
    </row>
    <row r="392" spans="1:22" ht="27.95" hidden="1" customHeight="1">
      <c r="A392" s="229"/>
      <c r="B392" s="229"/>
      <c r="C392" s="229"/>
      <c r="D392" s="260"/>
      <c r="E392" s="260"/>
      <c r="F392" s="260"/>
      <c r="G392" s="260"/>
      <c r="H392" s="290" t="s">
        <v>1288</v>
      </c>
      <c r="I392" s="238"/>
      <c r="J392" s="262">
        <v>8</v>
      </c>
      <c r="K392" s="263" t="s">
        <v>966</v>
      </c>
      <c r="L392" s="264">
        <v>175000</v>
      </c>
      <c r="M392" s="265">
        <f>+J392*L392</f>
        <v>1400000</v>
      </c>
      <c r="N392" s="266">
        <f>4+4</f>
        <v>8</v>
      </c>
      <c r="O392" s="263" t="s">
        <v>966</v>
      </c>
      <c r="P392" s="264">
        <v>175000</v>
      </c>
      <c r="Q392" s="266">
        <f t="shared" si="66"/>
        <v>1400000</v>
      </c>
      <c r="R392" s="267">
        <f t="shared" si="63"/>
        <v>1</v>
      </c>
      <c r="S392" s="266">
        <f t="shared" si="67"/>
        <v>0</v>
      </c>
      <c r="T392" s="266">
        <f t="shared" si="68"/>
        <v>0</v>
      </c>
      <c r="U392" s="266">
        <f t="shared" si="69"/>
        <v>1400000</v>
      </c>
      <c r="V392" s="266">
        <v>0</v>
      </c>
    </row>
    <row r="393" spans="1:22" ht="27.95" hidden="1" customHeight="1">
      <c r="A393" s="260"/>
      <c r="B393" s="260"/>
      <c r="C393" s="260"/>
      <c r="D393" s="260"/>
      <c r="E393" s="260"/>
      <c r="F393" s="260"/>
      <c r="G393" s="260"/>
      <c r="H393" s="290" t="s">
        <v>1289</v>
      </c>
      <c r="I393" s="238"/>
      <c r="J393" s="262">
        <v>8</v>
      </c>
      <c r="K393" s="263" t="s">
        <v>966</v>
      </c>
      <c r="L393" s="264">
        <v>150000</v>
      </c>
      <c r="M393" s="265">
        <f>+J393*L393</f>
        <v>1200000</v>
      </c>
      <c r="N393" s="266">
        <f>4+4</f>
        <v>8</v>
      </c>
      <c r="O393" s="263" t="s">
        <v>966</v>
      </c>
      <c r="P393" s="264">
        <v>150000</v>
      </c>
      <c r="Q393" s="266">
        <f t="shared" si="66"/>
        <v>1200000</v>
      </c>
      <c r="R393" s="267">
        <f t="shared" si="63"/>
        <v>1</v>
      </c>
      <c r="S393" s="266">
        <f t="shared" si="67"/>
        <v>0</v>
      </c>
      <c r="T393" s="266">
        <f t="shared" si="68"/>
        <v>0</v>
      </c>
      <c r="U393" s="266">
        <f t="shared" si="69"/>
        <v>1200000</v>
      </c>
      <c r="V393" s="266">
        <v>0</v>
      </c>
    </row>
    <row r="394" spans="1:22" ht="27.95" hidden="1" customHeight="1">
      <c r="A394" s="260" t="s">
        <v>362</v>
      </c>
      <c r="B394" s="260" t="s">
        <v>1002</v>
      </c>
      <c r="C394" s="269" t="s">
        <v>1043</v>
      </c>
      <c r="D394" s="260">
        <v>5</v>
      </c>
      <c r="E394" s="260">
        <v>2</v>
      </c>
      <c r="F394" s="269">
        <v>2</v>
      </c>
      <c r="G394" s="269" t="s">
        <v>1002</v>
      </c>
      <c r="H394" s="278" t="s">
        <v>1117</v>
      </c>
      <c r="I394" s="238"/>
      <c r="J394" s="262"/>
      <c r="K394" s="263"/>
      <c r="L394" s="264"/>
      <c r="M394" s="265"/>
      <c r="N394" s="266">
        <v>0</v>
      </c>
      <c r="O394" s="261"/>
      <c r="P394" s="266">
        <v>0</v>
      </c>
      <c r="Q394" s="266">
        <f t="shared" si="66"/>
        <v>0</v>
      </c>
      <c r="R394" s="267" t="str">
        <f t="shared" si="63"/>
        <v/>
      </c>
      <c r="S394" s="266">
        <f t="shared" si="67"/>
        <v>0</v>
      </c>
      <c r="T394" s="266">
        <f t="shared" si="68"/>
        <v>0</v>
      </c>
      <c r="U394" s="266">
        <f t="shared" si="69"/>
        <v>0</v>
      </c>
      <c r="V394" s="266">
        <v>0</v>
      </c>
    </row>
    <row r="395" spans="1:22" ht="27.95" hidden="1" customHeight="1">
      <c r="A395" s="229"/>
      <c r="B395" s="229"/>
      <c r="C395" s="229"/>
      <c r="D395" s="260"/>
      <c r="E395" s="260"/>
      <c r="F395" s="269"/>
      <c r="G395" s="269"/>
      <c r="H395" s="290" t="s">
        <v>1290</v>
      </c>
      <c r="I395" s="238"/>
      <c r="J395" s="262">
        <v>4</v>
      </c>
      <c r="K395" s="263" t="s">
        <v>1291</v>
      </c>
      <c r="L395" s="264">
        <v>100000</v>
      </c>
      <c r="M395" s="265">
        <f>+J395*L395</f>
        <v>400000</v>
      </c>
      <c r="N395" s="262">
        <v>4</v>
      </c>
      <c r="O395" s="263" t="s">
        <v>1291</v>
      </c>
      <c r="P395" s="264">
        <v>100000</v>
      </c>
      <c r="Q395" s="265">
        <f>+N395*P395</f>
        <v>400000</v>
      </c>
      <c r="R395" s="267">
        <f t="shared" si="63"/>
        <v>1</v>
      </c>
      <c r="S395" s="266">
        <f t="shared" si="67"/>
        <v>0</v>
      </c>
      <c r="T395" s="266">
        <f t="shared" si="68"/>
        <v>0</v>
      </c>
      <c r="U395" s="266">
        <f t="shared" si="69"/>
        <v>400000</v>
      </c>
      <c r="V395" s="266">
        <v>0</v>
      </c>
    </row>
    <row r="396" spans="1:22" ht="27.95" hidden="1" customHeight="1">
      <c r="A396" s="260" t="s">
        <v>362</v>
      </c>
      <c r="B396" s="260" t="s">
        <v>1002</v>
      </c>
      <c r="C396" s="260" t="s">
        <v>1043</v>
      </c>
      <c r="D396" s="244" t="s">
        <v>363</v>
      </c>
      <c r="E396" s="244">
        <v>3</v>
      </c>
      <c r="F396" s="244" t="s">
        <v>959</v>
      </c>
      <c r="G396" s="244" t="s">
        <v>959</v>
      </c>
      <c r="H396" s="245" t="s">
        <v>141</v>
      </c>
      <c r="I396" s="238"/>
      <c r="J396" s="246"/>
      <c r="K396" s="247"/>
      <c r="L396" s="248"/>
      <c r="M396" s="249">
        <f>+M397</f>
        <v>18609759</v>
      </c>
      <c r="N396" s="266">
        <v>0</v>
      </c>
      <c r="O396" s="261"/>
      <c r="P396" s="266">
        <v>0</v>
      </c>
      <c r="Q396" s="249">
        <f>+Q397</f>
        <v>0</v>
      </c>
      <c r="R396" s="267" t="str">
        <f t="shared" si="63"/>
        <v/>
      </c>
      <c r="S396" s="249">
        <f>+S397</f>
        <v>0</v>
      </c>
      <c r="T396" s="249">
        <f>+T397</f>
        <v>0</v>
      </c>
      <c r="U396" s="249">
        <f>+U397</f>
        <v>0</v>
      </c>
      <c r="V396" s="249">
        <f>+V397</f>
        <v>0</v>
      </c>
    </row>
    <row r="397" spans="1:22" ht="27.95" hidden="1" customHeight="1">
      <c r="A397" s="229" t="s">
        <v>362</v>
      </c>
      <c r="B397" s="229" t="s">
        <v>1002</v>
      </c>
      <c r="C397" s="229" t="s">
        <v>1043</v>
      </c>
      <c r="D397" s="252" t="s">
        <v>363</v>
      </c>
      <c r="E397" s="252">
        <v>3</v>
      </c>
      <c r="F397" s="252">
        <v>2</v>
      </c>
      <c r="G397" s="252" t="s">
        <v>959</v>
      </c>
      <c r="H397" s="288" t="s">
        <v>143</v>
      </c>
      <c r="I397" s="238"/>
      <c r="J397" s="254"/>
      <c r="K397" s="255"/>
      <c r="L397" s="256"/>
      <c r="M397" s="257">
        <f>SUM(M398:M400)</f>
        <v>18609759</v>
      </c>
      <c r="N397" s="266">
        <v>0</v>
      </c>
      <c r="O397" s="261"/>
      <c r="P397" s="266">
        <v>0</v>
      </c>
      <c r="Q397" s="257">
        <f>SUM(Q398:Q400)</f>
        <v>0</v>
      </c>
      <c r="R397" s="267" t="str">
        <f t="shared" si="63"/>
        <v/>
      </c>
      <c r="S397" s="257">
        <f>SUM(S398:S400)</f>
        <v>0</v>
      </c>
      <c r="T397" s="257">
        <f>SUM(T398:T400)</f>
        <v>0</v>
      </c>
      <c r="U397" s="257">
        <f>SUM(U398:U400)</f>
        <v>0</v>
      </c>
      <c r="V397" s="257">
        <f>SUM(V398:V400)</f>
        <v>0</v>
      </c>
    </row>
    <row r="398" spans="1:22" ht="27.95" hidden="1" customHeight="1">
      <c r="A398" s="260" t="s">
        <v>362</v>
      </c>
      <c r="B398" s="260" t="s">
        <v>1002</v>
      </c>
      <c r="C398" s="260" t="s">
        <v>1043</v>
      </c>
      <c r="D398" s="260">
        <v>5</v>
      </c>
      <c r="E398" s="260">
        <v>3</v>
      </c>
      <c r="F398" s="260">
        <v>2</v>
      </c>
      <c r="G398" s="269" t="s">
        <v>960</v>
      </c>
      <c r="H398" s="278" t="s">
        <v>1155</v>
      </c>
      <c r="I398" s="238"/>
      <c r="J398" s="262">
        <v>1</v>
      </c>
      <c r="K398" s="263" t="s">
        <v>967</v>
      </c>
      <c r="L398" s="264">
        <v>600000</v>
      </c>
      <c r="M398" s="265">
        <f>+J398*L398</f>
        <v>600000</v>
      </c>
      <c r="N398" s="266">
        <v>0</v>
      </c>
      <c r="O398" s="261"/>
      <c r="P398" s="266">
        <v>0</v>
      </c>
      <c r="Q398" s="266">
        <f>+N398*P398</f>
        <v>0</v>
      </c>
      <c r="R398" s="267">
        <f t="shared" si="63"/>
        <v>0</v>
      </c>
      <c r="S398" s="266">
        <f>+IF(W398="DDS",Q398,0)</f>
        <v>0</v>
      </c>
      <c r="T398" s="266">
        <f>+IF(W398="ADD",Q398,0)</f>
        <v>0</v>
      </c>
      <c r="U398" s="266">
        <f>+IF(W398="DDS",0,IF(W398="ADD",0,Q398))</f>
        <v>0</v>
      </c>
      <c r="V398" s="266">
        <v>0</v>
      </c>
    </row>
    <row r="399" spans="1:22" ht="27.95" hidden="1" customHeight="1">
      <c r="A399" s="260" t="s">
        <v>362</v>
      </c>
      <c r="B399" s="260" t="s">
        <v>1002</v>
      </c>
      <c r="C399" s="260" t="s">
        <v>1043</v>
      </c>
      <c r="D399" s="260">
        <v>5</v>
      </c>
      <c r="E399" s="260">
        <v>3</v>
      </c>
      <c r="F399" s="260">
        <v>2</v>
      </c>
      <c r="G399" s="260">
        <v>99</v>
      </c>
      <c r="H399" s="278" t="s">
        <v>1292</v>
      </c>
      <c r="I399" s="238"/>
      <c r="J399" s="262"/>
      <c r="K399" s="263"/>
      <c r="L399" s="264"/>
      <c r="M399" s="265"/>
      <c r="N399" s="266">
        <v>0</v>
      </c>
      <c r="O399" s="261"/>
      <c r="P399" s="266">
        <v>0</v>
      </c>
      <c r="Q399" s="266">
        <f t="shared" si="66"/>
        <v>0</v>
      </c>
      <c r="R399" s="267" t="str">
        <f t="shared" ref="R399:R439" si="70">IF(J399="","",Q399/M399)</f>
        <v/>
      </c>
      <c r="S399" s="266">
        <f t="shared" si="67"/>
        <v>0</v>
      </c>
      <c r="T399" s="266">
        <f t="shared" si="68"/>
        <v>0</v>
      </c>
      <c r="U399" s="266">
        <f t="shared" si="69"/>
        <v>0</v>
      </c>
      <c r="V399" s="266">
        <v>0</v>
      </c>
    </row>
    <row r="400" spans="1:22" ht="27.95" hidden="1" customHeight="1">
      <c r="A400" s="260"/>
      <c r="B400" s="260"/>
      <c r="C400" s="260"/>
      <c r="D400" s="260"/>
      <c r="E400" s="260"/>
      <c r="F400" s="260"/>
      <c r="G400" s="260"/>
      <c r="H400" s="290" t="s">
        <v>1293</v>
      </c>
      <c r="I400" s="238"/>
      <c r="J400" s="262">
        <v>1</v>
      </c>
      <c r="K400" s="263" t="s">
        <v>1029</v>
      </c>
      <c r="L400" s="264">
        <v>18009759</v>
      </c>
      <c r="M400" s="265">
        <f>+J400*L400</f>
        <v>18009759</v>
      </c>
      <c r="N400" s="266">
        <v>0</v>
      </c>
      <c r="O400" s="261"/>
      <c r="P400" s="266">
        <v>0</v>
      </c>
      <c r="Q400" s="266">
        <f t="shared" si="66"/>
        <v>0</v>
      </c>
      <c r="R400" s="267">
        <f t="shared" si="70"/>
        <v>0</v>
      </c>
      <c r="S400" s="266">
        <f t="shared" si="67"/>
        <v>0</v>
      </c>
      <c r="T400" s="266">
        <f t="shared" si="68"/>
        <v>0</v>
      </c>
      <c r="U400" s="266">
        <f t="shared" si="69"/>
        <v>0</v>
      </c>
      <c r="V400" s="266">
        <v>0</v>
      </c>
    </row>
    <row r="401" spans="1:22" ht="27.95" hidden="1" customHeight="1">
      <c r="A401" s="260" t="s">
        <v>362</v>
      </c>
      <c r="B401" s="260" t="s">
        <v>1002</v>
      </c>
      <c r="C401" s="260" t="s">
        <v>1043</v>
      </c>
      <c r="D401" s="229">
        <v>5</v>
      </c>
      <c r="E401" s="229">
        <v>2</v>
      </c>
      <c r="F401" s="229">
        <v>3</v>
      </c>
      <c r="G401" s="229"/>
      <c r="H401" s="291" t="s">
        <v>136</v>
      </c>
      <c r="I401" s="238"/>
      <c r="J401" s="231"/>
      <c r="K401" s="232"/>
      <c r="L401" s="237"/>
      <c r="M401" s="234"/>
      <c r="N401" s="266">
        <v>0</v>
      </c>
      <c r="O401" s="261"/>
      <c r="P401" s="266">
        <v>0</v>
      </c>
      <c r="Q401" s="266">
        <f t="shared" si="66"/>
        <v>0</v>
      </c>
      <c r="R401" s="267" t="str">
        <f t="shared" si="70"/>
        <v/>
      </c>
      <c r="S401" s="266">
        <f t="shared" si="67"/>
        <v>0</v>
      </c>
      <c r="T401" s="266">
        <f t="shared" si="68"/>
        <v>0</v>
      </c>
      <c r="U401" s="266">
        <f t="shared" si="69"/>
        <v>0</v>
      </c>
      <c r="V401" s="266">
        <v>0</v>
      </c>
    </row>
    <row r="402" spans="1:22" ht="27.95" hidden="1" customHeight="1">
      <c r="A402" s="260" t="s">
        <v>362</v>
      </c>
      <c r="B402" s="260" t="s">
        <v>1002</v>
      </c>
      <c r="C402" s="260" t="s">
        <v>1043</v>
      </c>
      <c r="D402" s="260">
        <v>5</v>
      </c>
      <c r="E402" s="260">
        <v>2</v>
      </c>
      <c r="F402" s="260">
        <v>3</v>
      </c>
      <c r="G402" s="269" t="s">
        <v>963</v>
      </c>
      <c r="H402" s="290" t="s">
        <v>513</v>
      </c>
      <c r="I402" s="238"/>
      <c r="J402" s="262"/>
      <c r="K402" s="263"/>
      <c r="L402" s="264"/>
      <c r="M402" s="234">
        <f>M403</f>
        <v>900000</v>
      </c>
      <c r="N402" s="266">
        <v>0</v>
      </c>
      <c r="O402" s="261"/>
      <c r="P402" s="266">
        <v>0</v>
      </c>
      <c r="Q402" s="266">
        <f>Q403</f>
        <v>900000</v>
      </c>
      <c r="R402" s="267" t="str">
        <f t="shared" si="70"/>
        <v/>
      </c>
      <c r="S402" s="266">
        <f t="shared" si="67"/>
        <v>0</v>
      </c>
      <c r="T402" s="266">
        <f t="shared" si="68"/>
        <v>0</v>
      </c>
      <c r="U402" s="266">
        <f t="shared" si="69"/>
        <v>900000</v>
      </c>
      <c r="V402" s="266">
        <v>0</v>
      </c>
    </row>
    <row r="403" spans="1:22" ht="27.95" hidden="1" customHeight="1">
      <c r="A403" s="229"/>
      <c r="B403" s="229"/>
      <c r="C403" s="229"/>
      <c r="D403" s="260"/>
      <c r="E403" s="260"/>
      <c r="F403" s="260"/>
      <c r="G403" s="260"/>
      <c r="H403" s="290" t="s">
        <v>1294</v>
      </c>
      <c r="I403" s="238"/>
      <c r="J403" s="262">
        <v>30</v>
      </c>
      <c r="K403" s="263" t="s">
        <v>1096</v>
      </c>
      <c r="L403" s="264">
        <v>30000</v>
      </c>
      <c r="M403" s="265">
        <f>+J403*L403</f>
        <v>900000</v>
      </c>
      <c r="N403" s="262">
        <v>30</v>
      </c>
      <c r="O403" s="263" t="s">
        <v>1096</v>
      </c>
      <c r="P403" s="264">
        <v>30000</v>
      </c>
      <c r="Q403" s="265">
        <f>+N403*P403</f>
        <v>900000</v>
      </c>
      <c r="R403" s="267">
        <f t="shared" si="70"/>
        <v>1</v>
      </c>
      <c r="S403" s="266">
        <f t="shared" si="67"/>
        <v>0</v>
      </c>
      <c r="T403" s="266">
        <f t="shared" si="68"/>
        <v>0</v>
      </c>
      <c r="U403" s="266">
        <f t="shared" si="69"/>
        <v>900000</v>
      </c>
      <c r="V403" s="266">
        <v>0</v>
      </c>
    </row>
    <row r="404" spans="1:22" ht="27.95" customHeight="1">
      <c r="A404" s="229" t="s">
        <v>362</v>
      </c>
      <c r="B404" s="229" t="s">
        <v>1038</v>
      </c>
      <c r="C404" s="244"/>
      <c r="D404" s="229"/>
      <c r="E404" s="229"/>
      <c r="F404" s="229" t="s">
        <v>959</v>
      </c>
      <c r="G404" s="229" t="s">
        <v>959</v>
      </c>
      <c r="H404" s="230" t="s">
        <v>161</v>
      </c>
      <c r="I404" s="238"/>
      <c r="J404" s="231"/>
      <c r="K404" s="232"/>
      <c r="L404" s="237"/>
      <c r="M404" s="234">
        <f>M405</f>
        <v>2260000</v>
      </c>
      <c r="N404" s="266">
        <v>0</v>
      </c>
      <c r="O404" s="261"/>
      <c r="P404" s="266">
        <v>0</v>
      </c>
      <c r="Q404" s="234">
        <f>+Q405</f>
        <v>0</v>
      </c>
      <c r="R404" s="236">
        <f>Q404/M404*100%</f>
        <v>0</v>
      </c>
      <c r="S404" s="234">
        <f t="shared" ref="S404:V405" si="71">+S405</f>
        <v>0</v>
      </c>
      <c r="T404" s="234">
        <f t="shared" si="71"/>
        <v>0</v>
      </c>
      <c r="U404" s="234">
        <f t="shared" si="71"/>
        <v>0</v>
      </c>
      <c r="V404" s="234">
        <f t="shared" si="71"/>
        <v>0</v>
      </c>
    </row>
    <row r="405" spans="1:22" ht="27.95" hidden="1" customHeight="1">
      <c r="A405" s="229" t="s">
        <v>362</v>
      </c>
      <c r="B405" s="229" t="s">
        <v>1038</v>
      </c>
      <c r="C405" s="270" t="s">
        <v>1040</v>
      </c>
      <c r="D405" s="229" t="s">
        <v>362</v>
      </c>
      <c r="E405" s="229" t="s">
        <v>1038</v>
      </c>
      <c r="F405" s="270" t="s">
        <v>1040</v>
      </c>
      <c r="G405" s="229" t="s">
        <v>959</v>
      </c>
      <c r="H405" s="230" t="s">
        <v>1295</v>
      </c>
      <c r="I405" s="238" t="s">
        <v>1296</v>
      </c>
      <c r="J405" s="239"/>
      <c r="K405" s="240"/>
      <c r="L405" s="241"/>
      <c r="M405" s="234">
        <f>+M406</f>
        <v>2260000</v>
      </c>
      <c r="N405" s="266">
        <v>0</v>
      </c>
      <c r="O405" s="261"/>
      <c r="P405" s="266">
        <v>0</v>
      </c>
      <c r="Q405" s="234">
        <f>+Q406</f>
        <v>0</v>
      </c>
      <c r="R405" s="267" t="str">
        <f t="shared" si="70"/>
        <v/>
      </c>
      <c r="S405" s="234">
        <f t="shared" si="71"/>
        <v>0</v>
      </c>
      <c r="T405" s="234">
        <f t="shared" si="71"/>
        <v>0</v>
      </c>
      <c r="U405" s="234">
        <f t="shared" si="71"/>
        <v>0</v>
      </c>
      <c r="V405" s="234">
        <f t="shared" si="71"/>
        <v>0</v>
      </c>
    </row>
    <row r="406" spans="1:22" ht="27.95" hidden="1" customHeight="1">
      <c r="A406" s="260" t="s">
        <v>362</v>
      </c>
      <c r="B406" s="260" t="s">
        <v>1038</v>
      </c>
      <c r="C406" s="269" t="s">
        <v>1040</v>
      </c>
      <c r="D406" s="244" t="s">
        <v>363</v>
      </c>
      <c r="E406" s="244" t="s">
        <v>970</v>
      </c>
      <c r="F406" s="244" t="s">
        <v>959</v>
      </c>
      <c r="G406" s="244" t="s">
        <v>959</v>
      </c>
      <c r="H406" s="289" t="s">
        <v>133</v>
      </c>
      <c r="I406" s="238"/>
      <c r="J406" s="246"/>
      <c r="K406" s="247"/>
      <c r="L406" s="248"/>
      <c r="M406" s="249">
        <f>+M407+M409</f>
        <v>2260000</v>
      </c>
      <c r="N406" s="266">
        <v>0</v>
      </c>
      <c r="O406" s="261"/>
      <c r="P406" s="266">
        <v>0</v>
      </c>
      <c r="Q406" s="249">
        <f>+Q407+Q410</f>
        <v>0</v>
      </c>
      <c r="R406" s="267" t="str">
        <f t="shared" si="70"/>
        <v/>
      </c>
      <c r="S406" s="249">
        <f>+S407+S410</f>
        <v>0</v>
      </c>
      <c r="T406" s="249">
        <f>+T407+T410</f>
        <v>0</v>
      </c>
      <c r="U406" s="249">
        <f>+U407+U410</f>
        <v>0</v>
      </c>
      <c r="V406" s="249">
        <f>+V407+V410</f>
        <v>0</v>
      </c>
    </row>
    <row r="407" spans="1:22" ht="27.95" hidden="1" customHeight="1">
      <c r="A407" s="229" t="s">
        <v>362</v>
      </c>
      <c r="B407" s="229" t="s">
        <v>1038</v>
      </c>
      <c r="C407" s="270" t="s">
        <v>1040</v>
      </c>
      <c r="D407" s="252" t="s">
        <v>363</v>
      </c>
      <c r="E407" s="252" t="s">
        <v>970</v>
      </c>
      <c r="F407" s="252" t="s">
        <v>362</v>
      </c>
      <c r="G407" s="252" t="s">
        <v>959</v>
      </c>
      <c r="H407" s="288" t="s">
        <v>134</v>
      </c>
      <c r="I407" s="238"/>
      <c r="J407" s="254"/>
      <c r="K407" s="255"/>
      <c r="L407" s="256"/>
      <c r="M407" s="257">
        <f>+SUM(M408:M408)</f>
        <v>1260000</v>
      </c>
      <c r="N407" s="266">
        <v>0</v>
      </c>
      <c r="O407" s="261"/>
      <c r="P407" s="266">
        <v>0</v>
      </c>
      <c r="Q407" s="266">
        <f>+N407*P407</f>
        <v>0</v>
      </c>
      <c r="R407" s="267" t="str">
        <f t="shared" si="70"/>
        <v/>
      </c>
      <c r="S407" s="266">
        <f>+IF(W407="DDS",Q407,0)</f>
        <v>0</v>
      </c>
      <c r="T407" s="266">
        <f>+IF(W407="ADD",Q407,0)</f>
        <v>0</v>
      </c>
      <c r="U407" s="266">
        <f>+IF(W407="DDS",0,IF(W407="ADD",0,Q407))</f>
        <v>0</v>
      </c>
      <c r="V407" s="266">
        <v>0</v>
      </c>
    </row>
    <row r="408" spans="1:22" ht="27.95" hidden="1" customHeight="1">
      <c r="A408" s="260" t="s">
        <v>362</v>
      </c>
      <c r="B408" s="260" t="s">
        <v>1038</v>
      </c>
      <c r="C408" s="269" t="s">
        <v>1040</v>
      </c>
      <c r="D408" s="260" t="s">
        <v>363</v>
      </c>
      <c r="E408" s="260" t="s">
        <v>970</v>
      </c>
      <c r="F408" s="260" t="s">
        <v>362</v>
      </c>
      <c r="G408" s="260" t="s">
        <v>1040</v>
      </c>
      <c r="H408" s="278" t="s">
        <v>252</v>
      </c>
      <c r="I408" s="238"/>
      <c r="J408" s="262">
        <v>36</v>
      </c>
      <c r="K408" s="263" t="s">
        <v>1042</v>
      </c>
      <c r="L408" s="264">
        <v>35000</v>
      </c>
      <c r="M408" s="265">
        <f>+J408*L408</f>
        <v>1260000</v>
      </c>
      <c r="N408" s="266">
        <v>0</v>
      </c>
      <c r="O408" s="261"/>
      <c r="P408" s="266">
        <v>0</v>
      </c>
      <c r="Q408" s="266">
        <f>+N408*P408</f>
        <v>0</v>
      </c>
      <c r="R408" s="267">
        <f t="shared" si="70"/>
        <v>0</v>
      </c>
      <c r="S408" s="266">
        <f>+IF(W408="DDS",Q408,0)</f>
        <v>0</v>
      </c>
      <c r="T408" s="266">
        <f>+IF(W408="ADD",Q408,0)</f>
        <v>0</v>
      </c>
      <c r="U408" s="266">
        <f>+IF(W408="DDS",0,IF(W408="ADD",0,Q408))</f>
        <v>0</v>
      </c>
      <c r="V408" s="266">
        <v>0</v>
      </c>
    </row>
    <row r="409" spans="1:22" ht="27.95" hidden="1" customHeight="1">
      <c r="A409" s="260" t="s">
        <v>362</v>
      </c>
      <c r="B409" s="260" t="s">
        <v>1038</v>
      </c>
      <c r="C409" s="269" t="s">
        <v>1040</v>
      </c>
      <c r="D409" s="252" t="s">
        <v>363</v>
      </c>
      <c r="E409" s="252" t="s">
        <v>970</v>
      </c>
      <c r="F409" s="252">
        <v>5</v>
      </c>
      <c r="G409" s="252" t="s">
        <v>959</v>
      </c>
      <c r="H409" s="288" t="s">
        <v>138</v>
      </c>
      <c r="I409" s="230"/>
      <c r="J409" s="254"/>
      <c r="K409" s="255"/>
      <c r="L409" s="256"/>
      <c r="M409" s="257">
        <f>+SUM(M410:M411)</f>
        <v>1000000</v>
      </c>
      <c r="N409" s="266">
        <v>0</v>
      </c>
      <c r="O409" s="261"/>
      <c r="P409" s="266">
        <v>0</v>
      </c>
      <c r="Q409" s="266">
        <f>+N409*P409</f>
        <v>0</v>
      </c>
      <c r="R409" s="267" t="str">
        <f t="shared" si="70"/>
        <v/>
      </c>
      <c r="S409" s="266">
        <f>+IF(W409="DDS",Q409,0)</f>
        <v>0</v>
      </c>
      <c r="T409" s="266">
        <f>+IF(W409="ADD",Q409,0)</f>
        <v>0</v>
      </c>
      <c r="U409" s="266">
        <f>+IF(W409="DDS",0,IF(W409="ADD",0,Q409))</f>
        <v>0</v>
      </c>
      <c r="V409" s="266">
        <v>0</v>
      </c>
    </row>
    <row r="410" spans="1:22" ht="27.95" hidden="1" customHeight="1">
      <c r="A410" s="229" t="s">
        <v>362</v>
      </c>
      <c r="B410" s="229" t="s">
        <v>1038</v>
      </c>
      <c r="C410" s="270" t="s">
        <v>1040</v>
      </c>
      <c r="D410" s="260" t="s">
        <v>363</v>
      </c>
      <c r="E410" s="260" t="s">
        <v>970</v>
      </c>
      <c r="F410" s="260">
        <v>5</v>
      </c>
      <c r="G410" s="260">
        <v>99</v>
      </c>
      <c r="H410" s="278" t="s">
        <v>1077</v>
      </c>
      <c r="I410" s="230"/>
      <c r="J410" s="262"/>
      <c r="K410" s="263"/>
      <c r="L410" s="264"/>
      <c r="M410" s="265"/>
      <c r="N410" s="266">
        <v>0</v>
      </c>
      <c r="O410" s="261"/>
      <c r="P410" s="266">
        <v>0</v>
      </c>
      <c r="Q410" s="266">
        <f>+N410*P410</f>
        <v>0</v>
      </c>
      <c r="R410" s="267" t="str">
        <f t="shared" si="70"/>
        <v/>
      </c>
      <c r="S410" s="266">
        <f>+IF(W410="DDS",Q410,0)</f>
        <v>0</v>
      </c>
      <c r="T410" s="266">
        <f>+IF(W410="ADD",Q410,0)</f>
        <v>0</v>
      </c>
      <c r="U410" s="266">
        <f>+IF(W410="DDS",0,IF(W410="ADD",0,Q410))</f>
        <v>0</v>
      </c>
      <c r="V410" s="266">
        <v>0</v>
      </c>
    </row>
    <row r="411" spans="1:22" ht="27.95" hidden="1" customHeight="1">
      <c r="A411" s="260" t="s">
        <v>362</v>
      </c>
      <c r="B411" s="260" t="s">
        <v>1038</v>
      </c>
      <c r="C411" s="269" t="s">
        <v>1040</v>
      </c>
      <c r="D411" s="260"/>
      <c r="E411" s="260"/>
      <c r="F411" s="260"/>
      <c r="G411" s="260"/>
      <c r="H411" s="290" t="s">
        <v>1297</v>
      </c>
      <c r="I411" s="230"/>
      <c r="J411" s="262">
        <v>1</v>
      </c>
      <c r="K411" s="263" t="s">
        <v>1029</v>
      </c>
      <c r="L411" s="264">
        <v>1000000</v>
      </c>
      <c r="M411" s="265">
        <f>+J411*L411</f>
        <v>1000000</v>
      </c>
      <c r="N411" s="266">
        <v>0</v>
      </c>
      <c r="O411" s="261"/>
      <c r="P411" s="266">
        <v>0</v>
      </c>
      <c r="Q411" s="266">
        <f>+N411*P411</f>
        <v>0</v>
      </c>
      <c r="R411" s="267">
        <f t="shared" si="70"/>
        <v>0</v>
      </c>
      <c r="S411" s="266">
        <f>+IF(W411="DDS",Q411,0)</f>
        <v>0</v>
      </c>
      <c r="T411" s="266">
        <f>+IF(W411="ADD",Q411,0)</f>
        <v>0</v>
      </c>
      <c r="U411" s="266">
        <f>+IF(W411="DDS",0,IF(W411="ADD",0,Q411))</f>
        <v>0</v>
      </c>
      <c r="V411" s="266">
        <v>0</v>
      </c>
    </row>
    <row r="412" spans="1:22" ht="27.95" customHeight="1">
      <c r="A412" s="229" t="s">
        <v>970</v>
      </c>
      <c r="B412" s="260"/>
      <c r="C412" s="260"/>
      <c r="D412" s="229"/>
      <c r="E412" s="229" t="s">
        <v>959</v>
      </c>
      <c r="F412" s="229" t="s">
        <v>959</v>
      </c>
      <c r="G412" s="229" t="s">
        <v>959</v>
      </c>
      <c r="H412" s="238" t="s">
        <v>364</v>
      </c>
      <c r="I412" s="230"/>
      <c r="J412" s="231"/>
      <c r="K412" s="232"/>
      <c r="L412" s="237"/>
      <c r="M412" s="234">
        <f>M413+M472+M538+M618+M630+M637</f>
        <v>1115911000</v>
      </c>
      <c r="N412" s="266">
        <v>0</v>
      </c>
      <c r="O412" s="261"/>
      <c r="P412" s="266">
        <v>0</v>
      </c>
      <c r="Q412" s="234">
        <f>Q413+Q472+Q538+Q618+Q630+Q637</f>
        <v>1085680000</v>
      </c>
      <c r="R412" s="236">
        <f>Q412/M412*100%</f>
        <v>0.97290912984996114</v>
      </c>
      <c r="S412" s="234">
        <f>S413+S472+S538+S618+S630+S637</f>
        <v>18526000</v>
      </c>
      <c r="T412" s="234">
        <f>T413+T472+T538+T618+T630+T637</f>
        <v>0</v>
      </c>
      <c r="U412" s="234">
        <f>U413+U472+U538+U618+U630+U637</f>
        <v>1081874000</v>
      </c>
      <c r="V412" s="234">
        <f>V413+V472+V538+V618+V630+V637</f>
        <v>0</v>
      </c>
    </row>
    <row r="413" spans="1:22" ht="27.95" customHeight="1">
      <c r="A413" s="229" t="s">
        <v>970</v>
      </c>
      <c r="B413" s="229" t="s">
        <v>960</v>
      </c>
      <c r="C413" s="229" t="s">
        <v>959</v>
      </c>
      <c r="D413" s="229"/>
      <c r="E413" s="229"/>
      <c r="F413" s="229"/>
      <c r="G413" s="229" t="s">
        <v>959</v>
      </c>
      <c r="H413" s="238" t="s">
        <v>163</v>
      </c>
      <c r="I413" s="230"/>
      <c r="J413" s="231"/>
      <c r="K413" s="232"/>
      <c r="L413" s="237"/>
      <c r="M413" s="234">
        <f>M414+M430+M442+M457</f>
        <v>540073000</v>
      </c>
      <c r="N413" s="266">
        <v>0</v>
      </c>
      <c r="O413" s="261"/>
      <c r="P413" s="266">
        <v>0</v>
      </c>
      <c r="Q413" s="234">
        <f>Q414+Q430+Q442+Q457</f>
        <v>526359500</v>
      </c>
      <c r="R413" s="236">
        <f>Q413/M413*100%</f>
        <v>0.97460806224343743</v>
      </c>
      <c r="S413" s="234">
        <f>S414+S430+S442+S457</f>
        <v>0</v>
      </c>
      <c r="T413" s="234">
        <f>T414+T430+T442+T457</f>
        <v>0</v>
      </c>
      <c r="U413" s="234">
        <f>U414+U430+U442+U457</f>
        <v>525759500</v>
      </c>
      <c r="V413" s="234">
        <f>V414+V430+V442+V457</f>
        <v>0</v>
      </c>
    </row>
    <row r="414" spans="1:22" ht="34.5" customHeight="1">
      <c r="A414" s="229" t="s">
        <v>970</v>
      </c>
      <c r="B414" s="229" t="s">
        <v>960</v>
      </c>
      <c r="C414" s="229" t="s">
        <v>960</v>
      </c>
      <c r="D414" s="229"/>
      <c r="E414" s="229"/>
      <c r="F414" s="229"/>
      <c r="G414" s="229"/>
      <c r="H414" s="238" t="s">
        <v>1298</v>
      </c>
      <c r="I414" s="230" t="s">
        <v>1299</v>
      </c>
      <c r="J414" s="239"/>
      <c r="K414" s="240">
        <v>1</v>
      </c>
      <c r="L414" s="241" t="s">
        <v>1538</v>
      </c>
      <c r="M414" s="234">
        <f>+M415</f>
        <v>36800000</v>
      </c>
      <c r="N414" s="266">
        <v>0</v>
      </c>
      <c r="O414" s="240">
        <v>1</v>
      </c>
      <c r="P414" s="241" t="s">
        <v>1538</v>
      </c>
      <c r="Q414" s="234">
        <f>+Q415</f>
        <v>33240000</v>
      </c>
      <c r="R414" s="236">
        <f>Q414/M414*100%</f>
        <v>0.90326086956521734</v>
      </c>
      <c r="S414" s="234">
        <f>+S415</f>
        <v>0</v>
      </c>
      <c r="T414" s="234">
        <f>+T415</f>
        <v>0</v>
      </c>
      <c r="U414" s="234">
        <f>+U415</f>
        <v>33240000</v>
      </c>
      <c r="V414" s="234">
        <f>+V415</f>
        <v>0</v>
      </c>
    </row>
    <row r="415" spans="1:22" ht="27.95" hidden="1" customHeight="1">
      <c r="A415" s="260" t="s">
        <v>970</v>
      </c>
      <c r="B415" s="260" t="s">
        <v>960</v>
      </c>
      <c r="C415" s="260" t="s">
        <v>960</v>
      </c>
      <c r="D415" s="244" t="s">
        <v>363</v>
      </c>
      <c r="E415" s="244" t="s">
        <v>970</v>
      </c>
      <c r="F415" s="244" t="s">
        <v>959</v>
      </c>
      <c r="G415" s="244" t="s">
        <v>959</v>
      </c>
      <c r="H415" s="245" t="s">
        <v>1026</v>
      </c>
      <c r="I415" s="230"/>
      <c r="J415" s="246"/>
      <c r="K415" s="247"/>
      <c r="L415" s="248"/>
      <c r="M415" s="249">
        <f>+M416+M425</f>
        <v>36800000</v>
      </c>
      <c r="N415" s="266">
        <v>0</v>
      </c>
      <c r="O415" s="261"/>
      <c r="P415" s="266">
        <v>0</v>
      </c>
      <c r="Q415" s="249">
        <f>+Q416+Q425</f>
        <v>33240000</v>
      </c>
      <c r="R415" s="267" t="str">
        <f t="shared" si="70"/>
        <v/>
      </c>
      <c r="S415" s="249">
        <f>+S416+S425</f>
        <v>0</v>
      </c>
      <c r="T415" s="249">
        <f>+T416+T425</f>
        <v>0</v>
      </c>
      <c r="U415" s="249">
        <f>+U416+U425</f>
        <v>33240000</v>
      </c>
      <c r="V415" s="249">
        <f>+V416+V425</f>
        <v>0</v>
      </c>
    </row>
    <row r="416" spans="1:22" ht="27.95" hidden="1" customHeight="1">
      <c r="A416" s="260" t="s">
        <v>970</v>
      </c>
      <c r="B416" s="260" t="s">
        <v>960</v>
      </c>
      <c r="C416" s="260" t="s">
        <v>960</v>
      </c>
      <c r="D416" s="252" t="s">
        <v>363</v>
      </c>
      <c r="E416" s="252" t="s">
        <v>970</v>
      </c>
      <c r="F416" s="252" t="s">
        <v>362</v>
      </c>
      <c r="G416" s="252" t="s">
        <v>959</v>
      </c>
      <c r="H416" s="253" t="s">
        <v>134</v>
      </c>
      <c r="I416" s="230"/>
      <c r="J416" s="254"/>
      <c r="K416" s="255"/>
      <c r="L416" s="256"/>
      <c r="M416" s="257">
        <f>+SUM(M417:M424)</f>
        <v>17360000</v>
      </c>
      <c r="N416" s="266">
        <v>0</v>
      </c>
      <c r="O416" s="261"/>
      <c r="P416" s="266">
        <v>0</v>
      </c>
      <c r="Q416" s="257">
        <f>+SUM(Q417:Q424)</f>
        <v>15240000</v>
      </c>
      <c r="R416" s="267" t="str">
        <f t="shared" si="70"/>
        <v/>
      </c>
      <c r="S416" s="257">
        <f>+SUM(S417:S424)</f>
        <v>0</v>
      </c>
      <c r="T416" s="257">
        <f>+SUM(T417:T424)</f>
        <v>0</v>
      </c>
      <c r="U416" s="257">
        <f>+SUM(U417:U424)</f>
        <v>15240000</v>
      </c>
      <c r="V416" s="257">
        <f>+SUM(V417:V424)</f>
        <v>0</v>
      </c>
    </row>
    <row r="417" spans="1:22" ht="27.95" hidden="1" customHeight="1">
      <c r="A417" s="260" t="s">
        <v>970</v>
      </c>
      <c r="B417" s="260" t="s">
        <v>960</v>
      </c>
      <c r="C417" s="260" t="s">
        <v>960</v>
      </c>
      <c r="D417" s="260" t="s">
        <v>363</v>
      </c>
      <c r="E417" s="260" t="s">
        <v>970</v>
      </c>
      <c r="F417" s="260" t="s">
        <v>362</v>
      </c>
      <c r="G417" s="260" t="s">
        <v>1076</v>
      </c>
      <c r="H417" s="261" t="s">
        <v>258</v>
      </c>
      <c r="I417" s="230"/>
      <c r="J417" s="262"/>
      <c r="K417" s="263"/>
      <c r="L417" s="264"/>
      <c r="M417" s="265"/>
      <c r="N417" s="266">
        <v>0</v>
      </c>
      <c r="O417" s="261"/>
      <c r="P417" s="266">
        <v>0</v>
      </c>
      <c r="Q417" s="266">
        <f t="shared" ref="Q417:Q427" si="72">+N417*P417</f>
        <v>0</v>
      </c>
      <c r="R417" s="267" t="str">
        <f t="shared" si="70"/>
        <v/>
      </c>
      <c r="S417" s="266">
        <f t="shared" ref="S417:S427" si="73">+IF(W417="DDS",Q417,0)</f>
        <v>0</v>
      </c>
      <c r="T417" s="266">
        <f t="shared" ref="T417:T429" si="74">+IF(W417="ADD",Q417,0)</f>
        <v>0</v>
      </c>
      <c r="U417" s="266">
        <f t="shared" ref="U417:U429" si="75">+IF(W417="DDS",0,IF(W417="ADD",0,Q417))</f>
        <v>0</v>
      </c>
      <c r="V417" s="266">
        <v>0</v>
      </c>
    </row>
    <row r="418" spans="1:22" ht="27.95" hidden="1" customHeight="1">
      <c r="A418" s="260"/>
      <c r="B418" s="260"/>
      <c r="C418" s="260"/>
      <c r="D418" s="260"/>
      <c r="E418" s="260"/>
      <c r="F418" s="260"/>
      <c r="G418" s="260"/>
      <c r="H418" s="268" t="s">
        <v>1300</v>
      </c>
      <c r="I418" s="230"/>
      <c r="J418" s="262">
        <v>228</v>
      </c>
      <c r="K418" s="263" t="s">
        <v>1248</v>
      </c>
      <c r="L418" s="264">
        <v>10000</v>
      </c>
      <c r="M418" s="265">
        <f t="shared" ref="M418:M424" si="76">+J418*L418</f>
        <v>2280000</v>
      </c>
      <c r="N418" s="266">
        <f>120+120</f>
        <v>240</v>
      </c>
      <c r="O418" s="263" t="s">
        <v>1248</v>
      </c>
      <c r="P418" s="264">
        <v>10000</v>
      </c>
      <c r="Q418" s="266">
        <f t="shared" si="72"/>
        <v>2400000</v>
      </c>
      <c r="R418" s="267">
        <f t="shared" si="70"/>
        <v>1.0526315789473684</v>
      </c>
      <c r="S418" s="266">
        <f t="shared" si="73"/>
        <v>0</v>
      </c>
      <c r="T418" s="266">
        <f t="shared" si="74"/>
        <v>0</v>
      </c>
      <c r="U418" s="266">
        <f t="shared" si="75"/>
        <v>2400000</v>
      </c>
      <c r="V418" s="266">
        <v>0</v>
      </c>
    </row>
    <row r="419" spans="1:22" ht="27.95" hidden="1" customHeight="1">
      <c r="A419" s="260"/>
      <c r="B419" s="260"/>
      <c r="C419" s="260"/>
      <c r="D419" s="260"/>
      <c r="E419" s="260"/>
      <c r="F419" s="260"/>
      <c r="G419" s="260"/>
      <c r="H419" s="268" t="s">
        <v>1301</v>
      </c>
      <c r="I419" s="230"/>
      <c r="J419" s="262">
        <v>288</v>
      </c>
      <c r="K419" s="263" t="s">
        <v>1248</v>
      </c>
      <c r="L419" s="264">
        <v>10000</v>
      </c>
      <c r="M419" s="265">
        <f t="shared" si="76"/>
        <v>2880000</v>
      </c>
      <c r="N419" s="266">
        <f>144+126</f>
        <v>270</v>
      </c>
      <c r="O419" s="263" t="s">
        <v>1248</v>
      </c>
      <c r="P419" s="264">
        <v>10000</v>
      </c>
      <c r="Q419" s="266">
        <f t="shared" si="72"/>
        <v>2700000</v>
      </c>
      <c r="R419" s="267">
        <f t="shared" si="70"/>
        <v>0.9375</v>
      </c>
      <c r="S419" s="266">
        <f t="shared" si="73"/>
        <v>0</v>
      </c>
      <c r="T419" s="266">
        <f t="shared" si="74"/>
        <v>0</v>
      </c>
      <c r="U419" s="266">
        <f t="shared" si="75"/>
        <v>2700000</v>
      </c>
      <c r="V419" s="266">
        <v>0</v>
      </c>
    </row>
    <row r="420" spans="1:22" ht="27.95" hidden="1" customHeight="1">
      <c r="A420" s="260"/>
      <c r="B420" s="260"/>
      <c r="C420" s="260"/>
      <c r="D420" s="260"/>
      <c r="E420" s="260"/>
      <c r="F420" s="260"/>
      <c r="G420" s="260"/>
      <c r="H420" s="268" t="s">
        <v>1302</v>
      </c>
      <c r="I420" s="230"/>
      <c r="J420" s="262">
        <v>276</v>
      </c>
      <c r="K420" s="263" t="s">
        <v>1248</v>
      </c>
      <c r="L420" s="264">
        <v>10000</v>
      </c>
      <c r="M420" s="265">
        <f t="shared" si="76"/>
        <v>2760000</v>
      </c>
      <c r="N420" s="266">
        <f>144+138</f>
        <v>282</v>
      </c>
      <c r="O420" s="263" t="s">
        <v>1248</v>
      </c>
      <c r="P420" s="264">
        <v>10000</v>
      </c>
      <c r="Q420" s="266">
        <f t="shared" si="72"/>
        <v>2820000</v>
      </c>
      <c r="R420" s="267">
        <f t="shared" si="70"/>
        <v>1.0217391304347827</v>
      </c>
      <c r="S420" s="266">
        <f t="shared" si="73"/>
        <v>0</v>
      </c>
      <c r="T420" s="266">
        <f t="shared" si="74"/>
        <v>0</v>
      </c>
      <c r="U420" s="266">
        <f t="shared" si="75"/>
        <v>2820000</v>
      </c>
      <c r="V420" s="266">
        <v>0</v>
      </c>
    </row>
    <row r="421" spans="1:22" ht="27.95" hidden="1" customHeight="1">
      <c r="A421" s="260"/>
      <c r="B421" s="260"/>
      <c r="C421" s="260"/>
      <c r="D421" s="260"/>
      <c r="E421" s="260"/>
      <c r="F421" s="260"/>
      <c r="G421" s="260"/>
      <c r="H421" s="268" t="s">
        <v>1303</v>
      </c>
      <c r="I421" s="230"/>
      <c r="J421" s="262">
        <v>348</v>
      </c>
      <c r="K421" s="263" t="s">
        <v>1248</v>
      </c>
      <c r="L421" s="264">
        <v>10000</v>
      </c>
      <c r="M421" s="265">
        <f t="shared" si="76"/>
        <v>3480000</v>
      </c>
      <c r="N421" s="266">
        <f>174+144</f>
        <v>318</v>
      </c>
      <c r="O421" s="263" t="s">
        <v>1248</v>
      </c>
      <c r="P421" s="264">
        <v>10000</v>
      </c>
      <c r="Q421" s="266">
        <f t="shared" si="72"/>
        <v>3180000</v>
      </c>
      <c r="R421" s="267">
        <f t="shared" si="70"/>
        <v>0.91379310344827591</v>
      </c>
      <c r="S421" s="266">
        <f t="shared" si="73"/>
        <v>0</v>
      </c>
      <c r="T421" s="266">
        <f t="shared" si="74"/>
        <v>0</v>
      </c>
      <c r="U421" s="266">
        <f t="shared" si="75"/>
        <v>3180000</v>
      </c>
      <c r="V421" s="266">
        <v>0</v>
      </c>
    </row>
    <row r="422" spans="1:22" ht="27.95" hidden="1" customHeight="1">
      <c r="A422" s="260"/>
      <c r="B422" s="260"/>
      <c r="C422" s="260"/>
      <c r="D422" s="260"/>
      <c r="E422" s="260"/>
      <c r="F422" s="260"/>
      <c r="G422" s="260"/>
      <c r="H422" s="268" t="s">
        <v>1304</v>
      </c>
      <c r="I422" s="230"/>
      <c r="J422" s="262">
        <v>228</v>
      </c>
      <c r="K422" s="263" t="s">
        <v>1248</v>
      </c>
      <c r="L422" s="264">
        <v>10000</v>
      </c>
      <c r="M422" s="265">
        <f t="shared" si="76"/>
        <v>2280000</v>
      </c>
      <c r="N422" s="266">
        <f>114+108</f>
        <v>222</v>
      </c>
      <c r="O422" s="263" t="s">
        <v>1248</v>
      </c>
      <c r="P422" s="264">
        <v>10000</v>
      </c>
      <c r="Q422" s="266">
        <f t="shared" si="72"/>
        <v>2220000</v>
      </c>
      <c r="R422" s="267">
        <f t="shared" si="70"/>
        <v>0.97368421052631582</v>
      </c>
      <c r="S422" s="266">
        <f t="shared" si="73"/>
        <v>0</v>
      </c>
      <c r="T422" s="266">
        <f t="shared" si="74"/>
        <v>0</v>
      </c>
      <c r="U422" s="266">
        <f t="shared" si="75"/>
        <v>2220000</v>
      </c>
      <c r="V422" s="266">
        <v>0</v>
      </c>
    </row>
    <row r="423" spans="1:22" ht="27.95" hidden="1" customHeight="1">
      <c r="A423" s="260"/>
      <c r="B423" s="260"/>
      <c r="C423" s="260"/>
      <c r="D423" s="260"/>
      <c r="E423" s="260"/>
      <c r="F423" s="260"/>
      <c r="G423" s="260"/>
      <c r="H423" s="268" t="s">
        <v>1305</v>
      </c>
      <c r="I423" s="230"/>
      <c r="J423" s="262">
        <v>192</v>
      </c>
      <c r="K423" s="263" t="s">
        <v>1248</v>
      </c>
      <c r="L423" s="264">
        <v>10000</v>
      </c>
      <c r="M423" s="265">
        <f>+J423*L423</f>
        <v>1920000</v>
      </c>
      <c r="N423" s="266">
        <f>96+96</f>
        <v>192</v>
      </c>
      <c r="O423" s="263" t="s">
        <v>1248</v>
      </c>
      <c r="P423" s="264">
        <v>10000</v>
      </c>
      <c r="Q423" s="266">
        <f t="shared" si="72"/>
        <v>1920000</v>
      </c>
      <c r="R423" s="267">
        <f t="shared" si="70"/>
        <v>1</v>
      </c>
      <c r="S423" s="266">
        <f t="shared" si="73"/>
        <v>0</v>
      </c>
      <c r="T423" s="266">
        <f t="shared" si="74"/>
        <v>0</v>
      </c>
      <c r="U423" s="266">
        <f t="shared" si="75"/>
        <v>1920000</v>
      </c>
      <c r="V423" s="266">
        <v>0</v>
      </c>
    </row>
    <row r="424" spans="1:22" ht="27.95" hidden="1" customHeight="1">
      <c r="A424" s="260"/>
      <c r="B424" s="260"/>
      <c r="C424" s="260"/>
      <c r="D424" s="260"/>
      <c r="E424" s="260"/>
      <c r="F424" s="260"/>
      <c r="G424" s="260"/>
      <c r="H424" s="268" t="s">
        <v>1306</v>
      </c>
      <c r="I424" s="230"/>
      <c r="J424" s="262">
        <v>1</v>
      </c>
      <c r="K424" s="263" t="s">
        <v>1029</v>
      </c>
      <c r="L424" s="264">
        <v>1760000</v>
      </c>
      <c r="M424" s="265">
        <f t="shared" si="76"/>
        <v>1760000</v>
      </c>
      <c r="N424" s="266">
        <v>0</v>
      </c>
      <c r="O424" s="261"/>
      <c r="P424" s="266">
        <v>0</v>
      </c>
      <c r="Q424" s="266">
        <f t="shared" si="72"/>
        <v>0</v>
      </c>
      <c r="R424" s="267">
        <f t="shared" si="70"/>
        <v>0</v>
      </c>
      <c r="S424" s="266">
        <f t="shared" si="73"/>
        <v>0</v>
      </c>
      <c r="T424" s="266">
        <f t="shared" si="74"/>
        <v>0</v>
      </c>
      <c r="U424" s="266">
        <f t="shared" si="75"/>
        <v>0</v>
      </c>
      <c r="V424" s="266">
        <v>0</v>
      </c>
    </row>
    <row r="425" spans="1:22" ht="27.95" hidden="1" customHeight="1">
      <c r="A425" s="260" t="s">
        <v>970</v>
      </c>
      <c r="B425" s="260" t="s">
        <v>960</v>
      </c>
      <c r="C425" s="260" t="s">
        <v>960</v>
      </c>
      <c r="D425" s="252" t="s">
        <v>363</v>
      </c>
      <c r="E425" s="252" t="s">
        <v>970</v>
      </c>
      <c r="F425" s="252" t="s">
        <v>970</v>
      </c>
      <c r="G425" s="252" t="s">
        <v>959</v>
      </c>
      <c r="H425" s="253" t="s">
        <v>135</v>
      </c>
      <c r="I425" s="230"/>
      <c r="J425" s="254"/>
      <c r="K425" s="255"/>
      <c r="L425" s="256"/>
      <c r="M425" s="257">
        <f>+SUM(M426:M429)</f>
        <v>19440000</v>
      </c>
      <c r="N425" s="266">
        <v>0</v>
      </c>
      <c r="O425" s="261"/>
      <c r="P425" s="266">
        <v>0</v>
      </c>
      <c r="Q425" s="257">
        <f>+SUM(Q426:Q429)</f>
        <v>18000000</v>
      </c>
      <c r="R425" s="267" t="str">
        <f t="shared" si="70"/>
        <v/>
      </c>
      <c r="S425" s="242">
        <f t="shared" si="73"/>
        <v>0</v>
      </c>
      <c r="T425" s="266">
        <f t="shared" si="74"/>
        <v>0</v>
      </c>
      <c r="U425" s="266">
        <f t="shared" si="75"/>
        <v>18000000</v>
      </c>
      <c r="V425" s="266">
        <v>0</v>
      </c>
    </row>
    <row r="426" spans="1:22" ht="27.95" hidden="1" customHeight="1">
      <c r="A426" s="260" t="s">
        <v>970</v>
      </c>
      <c r="B426" s="260" t="s">
        <v>960</v>
      </c>
      <c r="C426" s="260" t="s">
        <v>960</v>
      </c>
      <c r="D426" s="260" t="s">
        <v>363</v>
      </c>
      <c r="E426" s="260" t="s">
        <v>970</v>
      </c>
      <c r="F426" s="260" t="s">
        <v>970</v>
      </c>
      <c r="G426" s="260" t="s">
        <v>1076</v>
      </c>
      <c r="H426" s="278" t="s">
        <v>1307</v>
      </c>
      <c r="I426" s="230"/>
      <c r="J426" s="262"/>
      <c r="K426" s="263"/>
      <c r="L426" s="264"/>
      <c r="M426" s="265"/>
      <c r="N426" s="266">
        <v>0</v>
      </c>
      <c r="O426" s="261"/>
      <c r="P426" s="266">
        <v>0</v>
      </c>
      <c r="Q426" s="266">
        <f t="shared" si="72"/>
        <v>0</v>
      </c>
      <c r="R426" s="267" t="str">
        <f t="shared" si="70"/>
        <v/>
      </c>
      <c r="S426" s="266">
        <f t="shared" si="73"/>
        <v>0</v>
      </c>
      <c r="T426" s="266">
        <f t="shared" si="74"/>
        <v>0</v>
      </c>
      <c r="U426" s="266">
        <f t="shared" si="75"/>
        <v>0</v>
      </c>
      <c r="V426" s="266">
        <v>0</v>
      </c>
    </row>
    <row r="427" spans="1:22" ht="27.95" hidden="1" customHeight="1">
      <c r="A427" s="260"/>
      <c r="B427" s="260"/>
      <c r="C427" s="260"/>
      <c r="D427" s="260"/>
      <c r="E427" s="260"/>
      <c r="F427" s="260"/>
      <c r="G427" s="260"/>
      <c r="H427" s="290" t="s">
        <v>1308</v>
      </c>
      <c r="I427" s="230"/>
      <c r="J427" s="262">
        <v>12</v>
      </c>
      <c r="K427" s="263" t="s">
        <v>966</v>
      </c>
      <c r="L427" s="264">
        <v>150000</v>
      </c>
      <c r="M427" s="265">
        <f>+J427*L427</f>
        <v>1800000</v>
      </c>
      <c r="N427" s="266">
        <v>12</v>
      </c>
      <c r="O427" s="261" t="s">
        <v>966</v>
      </c>
      <c r="P427" s="266">
        <v>150000</v>
      </c>
      <c r="Q427" s="266">
        <f t="shared" si="72"/>
        <v>1800000</v>
      </c>
      <c r="R427" s="267">
        <f t="shared" si="70"/>
        <v>1</v>
      </c>
      <c r="S427" s="266">
        <f t="shared" si="73"/>
        <v>0</v>
      </c>
      <c r="T427" s="266">
        <f t="shared" si="74"/>
        <v>0</v>
      </c>
      <c r="U427" s="266">
        <f t="shared" si="75"/>
        <v>1800000</v>
      </c>
      <c r="V427" s="266">
        <v>0</v>
      </c>
    </row>
    <row r="428" spans="1:22" ht="27.95" hidden="1" customHeight="1">
      <c r="A428" s="260"/>
      <c r="B428" s="260"/>
      <c r="C428" s="260"/>
      <c r="D428" s="260"/>
      <c r="E428" s="260"/>
      <c r="F428" s="260"/>
      <c r="G428" s="260"/>
      <c r="H428" s="290" t="s">
        <v>1309</v>
      </c>
      <c r="I428" s="230"/>
      <c r="J428" s="262">
        <v>264</v>
      </c>
      <c r="K428" s="263" t="s">
        <v>966</v>
      </c>
      <c r="L428" s="264">
        <v>60000</v>
      </c>
      <c r="M428" s="265">
        <f>+J428*L428</f>
        <v>15840000</v>
      </c>
      <c r="N428" s="266">
        <f>80+160</f>
        <v>240</v>
      </c>
      <c r="O428" s="261" t="s">
        <v>966</v>
      </c>
      <c r="P428" s="266">
        <v>60000</v>
      </c>
      <c r="Q428" s="265">
        <f>N428*P428</f>
        <v>14400000</v>
      </c>
      <c r="R428" s="267">
        <f>IF(J428="","",Q428/M428)</f>
        <v>0.90909090909090906</v>
      </c>
      <c r="S428" s="266">
        <f>+IF(W428="DDS",Q428,0)</f>
        <v>0</v>
      </c>
      <c r="T428" s="266">
        <f>+IF(W428="ADD",Q428,0)</f>
        <v>0</v>
      </c>
      <c r="U428" s="266">
        <f>+IF(W428="DDS",0,IF(W428="ADD",0,Q428))</f>
        <v>14400000</v>
      </c>
      <c r="V428" s="266">
        <v>0</v>
      </c>
    </row>
    <row r="429" spans="1:22" ht="27.95" hidden="1" customHeight="1">
      <c r="A429" s="260"/>
      <c r="B429" s="260"/>
      <c r="C429" s="260"/>
      <c r="D429" s="260"/>
      <c r="E429" s="260"/>
      <c r="F429" s="260"/>
      <c r="G429" s="260"/>
      <c r="H429" s="290" t="s">
        <v>1310</v>
      </c>
      <c r="I429" s="230"/>
      <c r="J429" s="262">
        <v>12</v>
      </c>
      <c r="K429" s="263" t="s">
        <v>966</v>
      </c>
      <c r="L429" s="264">
        <v>150000</v>
      </c>
      <c r="M429" s="265">
        <f>+J429*L429</f>
        <v>1800000</v>
      </c>
      <c r="N429" s="262">
        <v>12</v>
      </c>
      <c r="O429" s="263" t="s">
        <v>966</v>
      </c>
      <c r="P429" s="264">
        <v>150000</v>
      </c>
      <c r="Q429" s="265">
        <f>N429*P429</f>
        <v>1800000</v>
      </c>
      <c r="R429" s="267">
        <f t="shared" si="70"/>
        <v>1</v>
      </c>
      <c r="S429" s="266">
        <f>+IF(W429="DDS",Q429,0)</f>
        <v>0</v>
      </c>
      <c r="T429" s="266">
        <f t="shared" si="74"/>
        <v>0</v>
      </c>
      <c r="U429" s="266">
        <f t="shared" si="75"/>
        <v>1800000</v>
      </c>
      <c r="V429" s="266">
        <v>0</v>
      </c>
    </row>
    <row r="430" spans="1:22" ht="38.25" customHeight="1">
      <c r="A430" s="260" t="s">
        <v>970</v>
      </c>
      <c r="B430" s="260" t="s">
        <v>960</v>
      </c>
      <c r="C430" s="269" t="s">
        <v>1094</v>
      </c>
      <c r="D430" s="260"/>
      <c r="E430" s="260"/>
      <c r="F430" s="269"/>
      <c r="G430" s="260"/>
      <c r="H430" s="291" t="s">
        <v>1311</v>
      </c>
      <c r="I430" s="230" t="s">
        <v>1312</v>
      </c>
      <c r="J430" s="262"/>
      <c r="K430" s="240">
        <v>1</v>
      </c>
      <c r="L430" s="241" t="s">
        <v>1538</v>
      </c>
      <c r="M430" s="234">
        <f>M431</f>
        <v>472008000</v>
      </c>
      <c r="N430" s="266">
        <v>0</v>
      </c>
      <c r="O430" s="240">
        <v>1</v>
      </c>
      <c r="P430" s="241" t="s">
        <v>1538</v>
      </c>
      <c r="Q430" s="234">
        <f>Q431</f>
        <v>462754500</v>
      </c>
      <c r="R430" s="236">
        <f>Q430/M430*100%</f>
        <v>0.9803954593989932</v>
      </c>
      <c r="S430" s="234">
        <f>S431</f>
        <v>0</v>
      </c>
      <c r="T430" s="234">
        <f>T431</f>
        <v>0</v>
      </c>
      <c r="U430" s="234">
        <f>U431</f>
        <v>462754500</v>
      </c>
      <c r="V430" s="234">
        <f>V431</f>
        <v>0</v>
      </c>
    </row>
    <row r="431" spans="1:22" ht="27.95" hidden="1" customHeight="1">
      <c r="A431" s="260" t="s">
        <v>970</v>
      </c>
      <c r="B431" s="260" t="s">
        <v>960</v>
      </c>
      <c r="C431" s="269" t="s">
        <v>1094</v>
      </c>
      <c r="D431" s="244" t="s">
        <v>363</v>
      </c>
      <c r="E431" s="244">
        <v>3</v>
      </c>
      <c r="F431" s="244" t="s">
        <v>959</v>
      </c>
      <c r="G431" s="244" t="s">
        <v>959</v>
      </c>
      <c r="H431" s="245" t="s">
        <v>141</v>
      </c>
      <c r="I431" s="230"/>
      <c r="J431" s="246"/>
      <c r="K431" s="247"/>
      <c r="L431" s="248"/>
      <c r="M431" s="249">
        <f>M432+M435</f>
        <v>472008000</v>
      </c>
      <c r="N431" s="266">
        <v>0</v>
      </c>
      <c r="O431" s="261"/>
      <c r="P431" s="266">
        <v>0</v>
      </c>
      <c r="Q431" s="249">
        <f>Q432+Q435</f>
        <v>462754500</v>
      </c>
      <c r="R431" s="267" t="str">
        <f t="shared" si="70"/>
        <v/>
      </c>
      <c r="S431" s="249">
        <f>S432+S435</f>
        <v>0</v>
      </c>
      <c r="T431" s="249">
        <f>T432+T435</f>
        <v>0</v>
      </c>
      <c r="U431" s="249">
        <f>U432+U435</f>
        <v>462754500</v>
      </c>
      <c r="V431" s="249">
        <f>V432+V435</f>
        <v>0</v>
      </c>
    </row>
    <row r="432" spans="1:22" ht="27.95" hidden="1" customHeight="1">
      <c r="A432" s="260" t="s">
        <v>970</v>
      </c>
      <c r="B432" s="260" t="s">
        <v>960</v>
      </c>
      <c r="C432" s="269" t="s">
        <v>1094</v>
      </c>
      <c r="D432" s="252">
        <v>5</v>
      </c>
      <c r="E432" s="252">
        <v>3</v>
      </c>
      <c r="F432" s="252">
        <v>4</v>
      </c>
      <c r="G432" s="252"/>
      <c r="H432" s="292" t="s">
        <v>1313</v>
      </c>
      <c r="I432" s="230"/>
      <c r="J432" s="254"/>
      <c r="K432" s="255"/>
      <c r="L432" s="256"/>
      <c r="M432" s="257">
        <f>SUM(M433:M434)</f>
        <v>136800000</v>
      </c>
      <c r="N432" s="266">
        <v>0</v>
      </c>
      <c r="O432" s="261"/>
      <c r="P432" s="266">
        <v>0</v>
      </c>
      <c r="Q432" s="257">
        <f>SUM(Q433:Q434)</f>
        <v>136286000</v>
      </c>
      <c r="R432" s="267" t="str">
        <f t="shared" si="70"/>
        <v/>
      </c>
      <c r="S432" s="257">
        <f>SUM(S433:S434)</f>
        <v>0</v>
      </c>
      <c r="T432" s="257">
        <f>SUM(T433:T434)</f>
        <v>0</v>
      </c>
      <c r="U432" s="257">
        <f>SUM(U433:U434)</f>
        <v>136286000</v>
      </c>
      <c r="V432" s="257">
        <f>SUM(V433:V434)</f>
        <v>0</v>
      </c>
    </row>
    <row r="433" spans="1:22" ht="27.95" hidden="1" customHeight="1">
      <c r="A433" s="260" t="s">
        <v>970</v>
      </c>
      <c r="B433" s="260" t="s">
        <v>960</v>
      </c>
      <c r="C433" s="269" t="s">
        <v>1094</v>
      </c>
      <c r="D433" s="260">
        <v>5</v>
      </c>
      <c r="E433" s="260">
        <v>3</v>
      </c>
      <c r="F433" s="260">
        <v>4</v>
      </c>
      <c r="G433" s="269" t="s">
        <v>960</v>
      </c>
      <c r="H433" s="290" t="s">
        <v>541</v>
      </c>
      <c r="I433" s="230"/>
      <c r="J433" s="262">
        <v>2</v>
      </c>
      <c r="K433" s="263" t="s">
        <v>966</v>
      </c>
      <c r="L433" s="264">
        <v>1300000</v>
      </c>
      <c r="M433" s="265">
        <f>+J433*L433</f>
        <v>2600000</v>
      </c>
      <c r="N433" s="266">
        <v>2</v>
      </c>
      <c r="O433" s="261" t="s">
        <v>966</v>
      </c>
      <c r="P433" s="266">
        <v>2451000</v>
      </c>
      <c r="Q433" s="266">
        <f>P433</f>
        <v>2451000</v>
      </c>
      <c r="R433" s="267">
        <f t="shared" si="70"/>
        <v>0.94269230769230772</v>
      </c>
      <c r="S433" s="266">
        <f t="shared" ref="S433:S439" si="77">+IF(W433="DDS",Q433,0)</f>
        <v>0</v>
      </c>
      <c r="T433" s="266">
        <f t="shared" ref="T433:T439" si="78">+IF(W433="ADD",Q433,0)</f>
        <v>0</v>
      </c>
      <c r="U433" s="266">
        <f t="shared" ref="U433:U439" si="79">+IF(W433="DDS",0,IF(W433="ADD",0,Q433))</f>
        <v>2451000</v>
      </c>
      <c r="V433" s="266">
        <v>0</v>
      </c>
    </row>
    <row r="434" spans="1:22" ht="27.95" hidden="1" customHeight="1">
      <c r="A434" s="260" t="s">
        <v>970</v>
      </c>
      <c r="B434" s="260" t="s">
        <v>960</v>
      </c>
      <c r="C434" s="269" t="s">
        <v>1094</v>
      </c>
      <c r="D434" s="260">
        <v>5</v>
      </c>
      <c r="E434" s="260">
        <v>3</v>
      </c>
      <c r="F434" s="260">
        <v>4</v>
      </c>
      <c r="G434" s="269" t="s">
        <v>960</v>
      </c>
      <c r="H434" s="290" t="s">
        <v>542</v>
      </c>
      <c r="I434" s="230"/>
      <c r="J434" s="262">
        <v>1</v>
      </c>
      <c r="K434" s="263" t="s">
        <v>1029</v>
      </c>
      <c r="L434" s="264">
        <v>134200000</v>
      </c>
      <c r="M434" s="265">
        <f>+J434*L434</f>
        <v>134200000</v>
      </c>
      <c r="N434" s="266">
        <v>1</v>
      </c>
      <c r="O434" s="261" t="s">
        <v>1034</v>
      </c>
      <c r="P434" s="266">
        <f>25120000+21980000+19730000+21980000+21980000+23045000</f>
        <v>133835000</v>
      </c>
      <c r="Q434" s="266">
        <f t="shared" ref="Q434:Q439" si="80">+N434*P434</f>
        <v>133835000</v>
      </c>
      <c r="R434" s="267">
        <f t="shared" si="70"/>
        <v>0.99728017883755593</v>
      </c>
      <c r="S434" s="266">
        <f t="shared" si="77"/>
        <v>0</v>
      </c>
      <c r="T434" s="266">
        <f t="shared" si="78"/>
        <v>0</v>
      </c>
      <c r="U434" s="266">
        <f t="shared" si="79"/>
        <v>133835000</v>
      </c>
      <c r="V434" s="266">
        <v>0</v>
      </c>
    </row>
    <row r="435" spans="1:22" ht="27.95" hidden="1" customHeight="1">
      <c r="A435" s="260" t="s">
        <v>970</v>
      </c>
      <c r="B435" s="260" t="s">
        <v>960</v>
      </c>
      <c r="C435" s="269" t="s">
        <v>1094</v>
      </c>
      <c r="D435" s="252">
        <v>5</v>
      </c>
      <c r="E435" s="252">
        <v>3</v>
      </c>
      <c r="F435" s="252">
        <v>5</v>
      </c>
      <c r="G435" s="252"/>
      <c r="H435" s="292" t="s">
        <v>1314</v>
      </c>
      <c r="I435" s="230"/>
      <c r="J435" s="254"/>
      <c r="K435" s="255"/>
      <c r="L435" s="256"/>
      <c r="M435" s="257">
        <f>SUM(M436:M441)</f>
        <v>335208000</v>
      </c>
      <c r="N435" s="266">
        <v>0</v>
      </c>
      <c r="O435" s="261"/>
      <c r="P435" s="266">
        <v>0</v>
      </c>
      <c r="Q435" s="257">
        <f>SUM(Q436:Q441)</f>
        <v>326468500</v>
      </c>
      <c r="R435" s="267" t="str">
        <f t="shared" si="70"/>
        <v/>
      </c>
      <c r="S435" s="257">
        <f>SUM(S436:S441)</f>
        <v>0</v>
      </c>
      <c r="T435" s="257">
        <f>SUM(T436:T441)</f>
        <v>0</v>
      </c>
      <c r="U435" s="257">
        <f>SUM(U436:U441)</f>
        <v>326468500</v>
      </c>
      <c r="V435" s="257">
        <f>SUM(V436:V441)</f>
        <v>0</v>
      </c>
    </row>
    <row r="436" spans="1:22" ht="27.95" hidden="1" customHeight="1">
      <c r="A436" s="260" t="s">
        <v>970</v>
      </c>
      <c r="B436" s="260" t="s">
        <v>960</v>
      </c>
      <c r="C436" s="269" t="s">
        <v>1094</v>
      </c>
      <c r="D436" s="260">
        <v>5</v>
      </c>
      <c r="E436" s="260">
        <v>3</v>
      </c>
      <c r="F436" s="260">
        <v>5</v>
      </c>
      <c r="G436" s="269" t="s">
        <v>995</v>
      </c>
      <c r="H436" s="290" t="s">
        <v>1315</v>
      </c>
      <c r="I436" s="230"/>
      <c r="J436" s="262">
        <v>1</v>
      </c>
      <c r="K436" s="263" t="s">
        <v>1029</v>
      </c>
      <c r="L436" s="264">
        <v>334308000</v>
      </c>
      <c r="M436" s="265">
        <f>+J436*L436</f>
        <v>334308000</v>
      </c>
      <c r="N436" s="266">
        <v>1</v>
      </c>
      <c r="O436" s="261" t="s">
        <v>1034</v>
      </c>
      <c r="P436" s="266">
        <f>146692800+113974300+64901400</f>
        <v>325568500</v>
      </c>
      <c r="Q436" s="266">
        <f t="shared" si="80"/>
        <v>325568500</v>
      </c>
      <c r="R436" s="267">
        <f t="shared" si="70"/>
        <v>0.97385793938523757</v>
      </c>
      <c r="S436" s="266">
        <f t="shared" si="77"/>
        <v>0</v>
      </c>
      <c r="T436" s="266">
        <f t="shared" si="78"/>
        <v>0</v>
      </c>
      <c r="U436" s="266">
        <f t="shared" si="79"/>
        <v>325568500</v>
      </c>
      <c r="V436" s="266">
        <v>0</v>
      </c>
    </row>
    <row r="437" spans="1:22" ht="27.95" hidden="1" customHeight="1">
      <c r="A437" s="260" t="s">
        <v>970</v>
      </c>
      <c r="B437" s="260" t="s">
        <v>960</v>
      </c>
      <c r="C437" s="269" t="s">
        <v>1094</v>
      </c>
      <c r="D437" s="260">
        <v>5</v>
      </c>
      <c r="E437" s="260">
        <v>3</v>
      </c>
      <c r="F437" s="260">
        <v>5</v>
      </c>
      <c r="G437" s="269" t="s">
        <v>1038</v>
      </c>
      <c r="H437" s="290" t="s">
        <v>1316</v>
      </c>
      <c r="I437" s="230"/>
      <c r="J437" s="262"/>
      <c r="K437" s="263"/>
      <c r="L437" s="264"/>
      <c r="M437" s="265"/>
      <c r="N437" s="266">
        <v>0</v>
      </c>
      <c r="O437" s="261"/>
      <c r="P437" s="266">
        <v>0</v>
      </c>
      <c r="Q437" s="266">
        <f t="shared" si="80"/>
        <v>0</v>
      </c>
      <c r="R437" s="267" t="str">
        <f t="shared" si="70"/>
        <v/>
      </c>
      <c r="S437" s="266">
        <f t="shared" si="77"/>
        <v>0</v>
      </c>
      <c r="T437" s="266">
        <f t="shared" si="78"/>
        <v>0</v>
      </c>
      <c r="U437" s="266">
        <f t="shared" si="79"/>
        <v>0</v>
      </c>
      <c r="V437" s="266">
        <v>0</v>
      </c>
    </row>
    <row r="438" spans="1:22" ht="27.95" hidden="1" customHeight="1">
      <c r="A438" s="260"/>
      <c r="B438" s="260"/>
      <c r="C438" s="260"/>
      <c r="D438" s="260"/>
      <c r="E438" s="260"/>
      <c r="F438" s="260"/>
      <c r="G438" s="260"/>
      <c r="H438" s="290" t="s">
        <v>1317</v>
      </c>
      <c r="I438" s="230"/>
      <c r="J438" s="262">
        <v>1</v>
      </c>
      <c r="K438" s="263" t="s">
        <v>1029</v>
      </c>
      <c r="L438" s="264">
        <v>150000</v>
      </c>
      <c r="M438" s="265">
        <f>+J438*L438</f>
        <v>150000</v>
      </c>
      <c r="N438" s="262">
        <v>1</v>
      </c>
      <c r="O438" s="263" t="s">
        <v>1029</v>
      </c>
      <c r="P438" s="264">
        <v>150000</v>
      </c>
      <c r="Q438" s="266">
        <f t="shared" si="80"/>
        <v>150000</v>
      </c>
      <c r="R438" s="267">
        <f t="shared" si="70"/>
        <v>1</v>
      </c>
      <c r="S438" s="266">
        <f t="shared" si="77"/>
        <v>0</v>
      </c>
      <c r="T438" s="266">
        <f t="shared" si="78"/>
        <v>0</v>
      </c>
      <c r="U438" s="266">
        <f t="shared" si="79"/>
        <v>150000</v>
      </c>
      <c r="V438" s="266">
        <v>0</v>
      </c>
    </row>
    <row r="439" spans="1:22" ht="27.95" hidden="1" customHeight="1">
      <c r="A439" s="260"/>
      <c r="B439" s="260"/>
      <c r="C439" s="260"/>
      <c r="D439" s="260"/>
      <c r="E439" s="260"/>
      <c r="F439" s="260"/>
      <c r="G439" s="260"/>
      <c r="H439" s="290" t="s">
        <v>1318</v>
      </c>
      <c r="I439" s="230"/>
      <c r="J439" s="262">
        <v>1</v>
      </c>
      <c r="K439" s="263" t="s">
        <v>1029</v>
      </c>
      <c r="L439" s="264">
        <v>100000</v>
      </c>
      <c r="M439" s="265">
        <f>+J439*L439</f>
        <v>100000</v>
      </c>
      <c r="N439" s="262">
        <v>1</v>
      </c>
      <c r="O439" s="263" t="s">
        <v>1029</v>
      </c>
      <c r="P439" s="264">
        <v>100000</v>
      </c>
      <c r="Q439" s="266">
        <f t="shared" si="80"/>
        <v>100000</v>
      </c>
      <c r="R439" s="267">
        <f t="shared" si="70"/>
        <v>1</v>
      </c>
      <c r="S439" s="266">
        <f t="shared" si="77"/>
        <v>0</v>
      </c>
      <c r="T439" s="266">
        <f t="shared" si="78"/>
        <v>0</v>
      </c>
      <c r="U439" s="266">
        <f t="shared" si="79"/>
        <v>100000</v>
      </c>
      <c r="V439" s="266">
        <v>0</v>
      </c>
    </row>
    <row r="440" spans="1:22" ht="27.95" hidden="1" customHeight="1">
      <c r="A440" s="260"/>
      <c r="B440" s="260"/>
      <c r="C440" s="260"/>
      <c r="D440" s="260"/>
      <c r="E440" s="260"/>
      <c r="F440" s="260"/>
      <c r="G440" s="260"/>
      <c r="H440" s="290" t="s">
        <v>1319</v>
      </c>
      <c r="I440" s="230"/>
      <c r="J440" s="262">
        <v>30</v>
      </c>
      <c r="K440" s="263" t="s">
        <v>1042</v>
      </c>
      <c r="L440" s="264">
        <v>10000</v>
      </c>
      <c r="M440" s="265">
        <f>+J440*L440</f>
        <v>300000</v>
      </c>
      <c r="N440" s="262">
        <v>30</v>
      </c>
      <c r="O440" s="263" t="s">
        <v>1042</v>
      </c>
      <c r="P440" s="264">
        <v>10000</v>
      </c>
      <c r="Q440" s="266">
        <f>+N440*P440</f>
        <v>300000</v>
      </c>
      <c r="R440" s="267">
        <f>IF(J440="","",Q440/M440)</f>
        <v>1</v>
      </c>
      <c r="S440" s="266">
        <f>+IF(W440="DDS",Q440,0)</f>
        <v>0</v>
      </c>
      <c r="T440" s="266">
        <f>+IF(W440="ADD",Q440,0)</f>
        <v>0</v>
      </c>
      <c r="U440" s="266">
        <f>+IF(W440="DDS",0,IF(W440="ADD",0,Q440))</f>
        <v>300000</v>
      </c>
      <c r="V440" s="266">
        <v>0</v>
      </c>
    </row>
    <row r="441" spans="1:22" ht="10.5" hidden="1" customHeight="1">
      <c r="A441" s="260"/>
      <c r="B441" s="260"/>
      <c r="C441" s="260"/>
      <c r="D441" s="260"/>
      <c r="E441" s="260"/>
      <c r="F441" s="260"/>
      <c r="G441" s="260"/>
      <c r="H441" s="290" t="s">
        <v>1320</v>
      </c>
      <c r="I441" s="230"/>
      <c r="J441" s="262">
        <v>1</v>
      </c>
      <c r="K441" s="263" t="s">
        <v>1046</v>
      </c>
      <c r="L441" s="264">
        <v>350000</v>
      </c>
      <c r="M441" s="265">
        <f>+J441*L441</f>
        <v>350000</v>
      </c>
      <c r="N441" s="262">
        <v>1</v>
      </c>
      <c r="O441" s="263" t="s">
        <v>1046</v>
      </c>
      <c r="P441" s="264">
        <v>350000</v>
      </c>
      <c r="Q441" s="265">
        <f>+N441*P441</f>
        <v>350000</v>
      </c>
      <c r="R441" s="267">
        <f>IF(J441="","",Q441/M441)</f>
        <v>1</v>
      </c>
      <c r="S441" s="266">
        <f>+IF(W441="DDS",Q441,0)</f>
        <v>0</v>
      </c>
      <c r="T441" s="266">
        <f>+IF(W441="ADD",Q441,0)</f>
        <v>0</v>
      </c>
      <c r="U441" s="266">
        <f>+IF(W441="DDS",0,IF(W441="ADD",0,Q441))</f>
        <v>350000</v>
      </c>
      <c r="V441" s="266">
        <v>0</v>
      </c>
    </row>
    <row r="442" spans="1:22" ht="27.95" customHeight="1">
      <c r="A442" s="260">
        <v>2</v>
      </c>
      <c r="B442" s="260">
        <v>1</v>
      </c>
      <c r="C442" s="269" t="s">
        <v>1043</v>
      </c>
      <c r="D442" s="260"/>
      <c r="E442" s="260"/>
      <c r="F442" s="269"/>
      <c r="G442" s="260"/>
      <c r="H442" s="291" t="s">
        <v>1321</v>
      </c>
      <c r="I442" s="230" t="s">
        <v>1322</v>
      </c>
      <c r="J442" s="262"/>
      <c r="K442" s="263">
        <v>12</v>
      </c>
      <c r="L442" s="264" t="s">
        <v>1073</v>
      </c>
      <c r="M442" s="234">
        <f>M443</f>
        <v>6900000</v>
      </c>
      <c r="N442" s="266"/>
      <c r="O442" s="263">
        <v>12</v>
      </c>
      <c r="P442" s="264" t="s">
        <v>1073</v>
      </c>
      <c r="Q442" s="234">
        <f>Q443+Q455</f>
        <v>6000000</v>
      </c>
      <c r="R442" s="236">
        <f>Q442/M442*100%</f>
        <v>0.86956521739130432</v>
      </c>
      <c r="S442" s="234">
        <f>S443+S455</f>
        <v>0</v>
      </c>
      <c r="T442" s="234">
        <f>T443+T455</f>
        <v>0</v>
      </c>
      <c r="U442" s="234">
        <f>U443+U455</f>
        <v>6000000</v>
      </c>
      <c r="V442" s="234">
        <f>V443+V455</f>
        <v>0</v>
      </c>
    </row>
    <row r="443" spans="1:22" ht="27.95" hidden="1" customHeight="1">
      <c r="A443" s="260">
        <v>2</v>
      </c>
      <c r="B443" s="260">
        <v>1</v>
      </c>
      <c r="C443" s="269" t="s">
        <v>1043</v>
      </c>
      <c r="D443" s="244" t="s">
        <v>363</v>
      </c>
      <c r="E443" s="244" t="s">
        <v>970</v>
      </c>
      <c r="F443" s="244" t="s">
        <v>959</v>
      </c>
      <c r="G443" s="244" t="s">
        <v>959</v>
      </c>
      <c r="H443" s="245" t="s">
        <v>1026</v>
      </c>
      <c r="I443" s="230"/>
      <c r="J443" s="246"/>
      <c r="K443" s="247"/>
      <c r="L443" s="248"/>
      <c r="M443" s="249">
        <f>M444+M455</f>
        <v>6900000</v>
      </c>
      <c r="N443" s="266"/>
      <c r="O443" s="261"/>
      <c r="P443" s="266"/>
      <c r="Q443" s="249">
        <f>Q444</f>
        <v>3250000</v>
      </c>
      <c r="R443" s="267"/>
      <c r="S443" s="249">
        <f>S444</f>
        <v>0</v>
      </c>
      <c r="T443" s="249">
        <f>T444</f>
        <v>0</v>
      </c>
      <c r="U443" s="249">
        <f>U444</f>
        <v>3250000</v>
      </c>
      <c r="V443" s="249">
        <f>V444</f>
        <v>0</v>
      </c>
    </row>
    <row r="444" spans="1:22" ht="27.95" hidden="1" customHeight="1">
      <c r="A444" s="260">
        <v>2</v>
      </c>
      <c r="B444" s="260">
        <v>1</v>
      </c>
      <c r="C444" s="269" t="s">
        <v>1043</v>
      </c>
      <c r="D444" s="252">
        <v>5</v>
      </c>
      <c r="E444" s="252">
        <v>2</v>
      </c>
      <c r="F444" s="252">
        <v>1</v>
      </c>
      <c r="G444" s="252"/>
      <c r="H444" s="292" t="s">
        <v>1258</v>
      </c>
      <c r="I444" s="230"/>
      <c r="J444" s="254"/>
      <c r="K444" s="255"/>
      <c r="L444" s="256"/>
      <c r="M444" s="257">
        <f>SUM(M445:M454)</f>
        <v>3900000</v>
      </c>
      <c r="N444" s="266"/>
      <c r="O444" s="261"/>
      <c r="P444" s="266"/>
      <c r="Q444" s="257">
        <f>SUM(Q445:Q454)</f>
        <v>3250000</v>
      </c>
      <c r="R444" s="267"/>
      <c r="S444" s="257">
        <f>SUM(S445:S454)</f>
        <v>0</v>
      </c>
      <c r="T444" s="257">
        <f>SUM(T445:T454)</f>
        <v>0</v>
      </c>
      <c r="U444" s="257">
        <f>SUM(U445:U454)</f>
        <v>3250000</v>
      </c>
      <c r="V444" s="257">
        <f>SUM(V445:V454)</f>
        <v>0</v>
      </c>
    </row>
    <row r="445" spans="1:22" ht="27.95" hidden="1" customHeight="1">
      <c r="A445" s="260">
        <v>2</v>
      </c>
      <c r="B445" s="260">
        <v>1</v>
      </c>
      <c r="C445" s="269" t="s">
        <v>1043</v>
      </c>
      <c r="D445" s="260">
        <v>5</v>
      </c>
      <c r="E445" s="260">
        <v>2</v>
      </c>
      <c r="F445" s="260">
        <v>1</v>
      </c>
      <c r="G445" s="269" t="s">
        <v>960</v>
      </c>
      <c r="H445" s="290" t="s">
        <v>1323</v>
      </c>
      <c r="I445" s="230"/>
      <c r="J445" s="262">
        <v>1</v>
      </c>
      <c r="K445" s="263" t="s">
        <v>1029</v>
      </c>
      <c r="L445" s="264">
        <v>175000</v>
      </c>
      <c r="M445" s="265">
        <f>+J445*L445</f>
        <v>175000</v>
      </c>
      <c r="N445" s="262">
        <v>1</v>
      </c>
      <c r="O445" s="263" t="s">
        <v>1029</v>
      </c>
      <c r="P445" s="266">
        <v>175000</v>
      </c>
      <c r="Q445" s="266">
        <f>+N445*P445</f>
        <v>175000</v>
      </c>
      <c r="R445" s="267">
        <f>IF(J445="","",Q445/M445)</f>
        <v>1</v>
      </c>
      <c r="S445" s="266">
        <f>+IF(W445="DDS",Q445,0)</f>
        <v>0</v>
      </c>
      <c r="T445" s="266">
        <f>+IF(W445="ADD",Q445,0)</f>
        <v>0</v>
      </c>
      <c r="U445" s="266">
        <f>+IF(W445="DDS",0,IF(W445="ADD",0,Q445))</f>
        <v>175000</v>
      </c>
      <c r="V445" s="266">
        <v>0</v>
      </c>
    </row>
    <row r="446" spans="1:22" ht="27.95" hidden="1" customHeight="1">
      <c r="A446" s="260">
        <v>2</v>
      </c>
      <c r="B446" s="260">
        <v>1</v>
      </c>
      <c r="C446" s="269" t="s">
        <v>1043</v>
      </c>
      <c r="D446" s="260">
        <v>5</v>
      </c>
      <c r="E446" s="260">
        <v>2</v>
      </c>
      <c r="F446" s="260">
        <v>1</v>
      </c>
      <c r="G446" s="269" t="s">
        <v>1038</v>
      </c>
      <c r="H446" s="290" t="s">
        <v>1324</v>
      </c>
      <c r="I446" s="230"/>
      <c r="J446" s="262"/>
      <c r="K446" s="263"/>
      <c r="L446" s="264"/>
      <c r="M446" s="265"/>
      <c r="N446" s="266"/>
      <c r="O446" s="261"/>
      <c r="P446" s="266"/>
      <c r="Q446" s="266"/>
      <c r="R446" s="267"/>
      <c r="S446" s="266"/>
      <c r="T446" s="266"/>
      <c r="U446" s="266"/>
      <c r="V446" s="266"/>
    </row>
    <row r="447" spans="1:22" ht="27.95" hidden="1" customHeight="1">
      <c r="A447" s="260"/>
      <c r="B447" s="260"/>
      <c r="C447" s="260"/>
      <c r="D447" s="260"/>
      <c r="E447" s="260"/>
      <c r="F447" s="260"/>
      <c r="G447" s="269"/>
      <c r="H447" s="290" t="s">
        <v>1325</v>
      </c>
      <c r="I447" s="230"/>
      <c r="J447" s="262">
        <v>1</v>
      </c>
      <c r="K447" s="263" t="s">
        <v>1029</v>
      </c>
      <c r="L447" s="264">
        <v>150000</v>
      </c>
      <c r="M447" s="265">
        <f>+J447*L447</f>
        <v>150000</v>
      </c>
      <c r="N447" s="262">
        <v>1</v>
      </c>
      <c r="O447" s="263" t="s">
        <v>1029</v>
      </c>
      <c r="P447" s="266">
        <v>150000</v>
      </c>
      <c r="Q447" s="266">
        <f>+N447*P447</f>
        <v>150000</v>
      </c>
      <c r="R447" s="267">
        <f>IF(J447="","",Q447/M447)</f>
        <v>1</v>
      </c>
      <c r="S447" s="266">
        <f>+IF(W447="DDS",Q447,0)</f>
        <v>0</v>
      </c>
      <c r="T447" s="266">
        <f>+IF(W447="ADD",Q447,0)</f>
        <v>0</v>
      </c>
      <c r="U447" s="266">
        <f>+IF(W447="DDS",0,IF(W447="ADD",0,Q447))</f>
        <v>150000</v>
      </c>
      <c r="V447" s="266">
        <v>0</v>
      </c>
    </row>
    <row r="448" spans="1:22" ht="27.95" hidden="1" customHeight="1">
      <c r="A448" s="260"/>
      <c r="B448" s="260"/>
      <c r="C448" s="260"/>
      <c r="D448" s="260"/>
      <c r="E448" s="260"/>
      <c r="F448" s="260"/>
      <c r="G448" s="269"/>
      <c r="H448" s="290" t="s">
        <v>1326</v>
      </c>
      <c r="I448" s="230"/>
      <c r="J448" s="262">
        <v>10</v>
      </c>
      <c r="K448" s="263" t="s">
        <v>1327</v>
      </c>
      <c r="L448" s="264">
        <v>30000</v>
      </c>
      <c r="M448" s="265">
        <f>+J448*L448</f>
        <v>300000</v>
      </c>
      <c r="N448" s="266">
        <v>0</v>
      </c>
      <c r="O448" s="261"/>
      <c r="P448" s="266">
        <v>0</v>
      </c>
      <c r="Q448" s="266">
        <f>+N448*P448</f>
        <v>0</v>
      </c>
      <c r="R448" s="267">
        <f>IF(J448="","",Q448/M448)</f>
        <v>0</v>
      </c>
      <c r="S448" s="266">
        <f>+IF(W448="DDS",Q448,0)</f>
        <v>0</v>
      </c>
      <c r="T448" s="266">
        <f>+IF(W448="ADD",Q448,0)</f>
        <v>0</v>
      </c>
      <c r="U448" s="266">
        <f>+IF(W448="DDS",0,IF(W448="ADD",0,Q448))</f>
        <v>0</v>
      </c>
      <c r="V448" s="266">
        <v>0</v>
      </c>
    </row>
    <row r="449" spans="1:22" ht="27.95" hidden="1" customHeight="1">
      <c r="A449" s="260"/>
      <c r="B449" s="260"/>
      <c r="C449" s="260"/>
      <c r="D449" s="260"/>
      <c r="E449" s="260"/>
      <c r="F449" s="260"/>
      <c r="G449" s="269"/>
      <c r="H449" s="290" t="s">
        <v>1328</v>
      </c>
      <c r="I449" s="230"/>
      <c r="J449" s="262">
        <v>1</v>
      </c>
      <c r="K449" s="263" t="s">
        <v>1191</v>
      </c>
      <c r="L449" s="264">
        <v>25000</v>
      </c>
      <c r="M449" s="265">
        <f>+J449*L449</f>
        <v>25000</v>
      </c>
      <c r="N449" s="262">
        <v>1</v>
      </c>
      <c r="O449" s="263" t="s">
        <v>1029</v>
      </c>
      <c r="P449" s="266">
        <v>25000</v>
      </c>
      <c r="Q449" s="266">
        <f>+N449*P449</f>
        <v>25000</v>
      </c>
      <c r="R449" s="267">
        <f>IF(J449="","",Q449/M449)</f>
        <v>1</v>
      </c>
      <c r="S449" s="266">
        <f>+IF(W449="DDS",Q449,0)</f>
        <v>0</v>
      </c>
      <c r="T449" s="266">
        <f>+IF(W449="ADD",Q449,0)</f>
        <v>0</v>
      </c>
      <c r="U449" s="266">
        <f>+IF(W449="DDS",0,IF(W449="ADD",0,Q449))</f>
        <v>25000</v>
      </c>
      <c r="V449" s="266">
        <v>0</v>
      </c>
    </row>
    <row r="450" spans="1:22" ht="27.95" hidden="1" customHeight="1">
      <c r="A450" s="260">
        <v>2</v>
      </c>
      <c r="B450" s="260">
        <v>1</v>
      </c>
      <c r="C450" s="269" t="s">
        <v>1043</v>
      </c>
      <c r="D450" s="260">
        <v>5</v>
      </c>
      <c r="E450" s="260">
        <v>2</v>
      </c>
      <c r="F450" s="260">
        <v>1</v>
      </c>
      <c r="G450" s="269" t="s">
        <v>1040</v>
      </c>
      <c r="H450" s="290" t="s">
        <v>1329</v>
      </c>
      <c r="I450" s="230"/>
      <c r="J450" s="262"/>
      <c r="K450" s="263"/>
      <c r="L450" s="264"/>
      <c r="M450" s="265"/>
      <c r="N450" s="266"/>
      <c r="O450" s="261"/>
      <c r="P450" s="266"/>
      <c r="Q450" s="266"/>
      <c r="R450" s="267"/>
      <c r="S450" s="266"/>
      <c r="T450" s="266"/>
      <c r="U450" s="266"/>
      <c r="V450" s="266"/>
    </row>
    <row r="451" spans="1:22" ht="27.95" hidden="1" customHeight="1">
      <c r="A451" s="260"/>
      <c r="B451" s="260"/>
      <c r="C451" s="260"/>
      <c r="D451" s="260"/>
      <c r="E451" s="260"/>
      <c r="F451" s="260"/>
      <c r="G451" s="260"/>
      <c r="H451" s="290" t="s">
        <v>1330</v>
      </c>
      <c r="I451" s="230"/>
      <c r="J451" s="262">
        <v>10</v>
      </c>
      <c r="K451" s="263" t="s">
        <v>1042</v>
      </c>
      <c r="L451" s="264">
        <v>35000</v>
      </c>
      <c r="M451" s="265">
        <f>+J451*L451</f>
        <v>350000</v>
      </c>
      <c r="N451" s="266">
        <v>0</v>
      </c>
      <c r="O451" s="261"/>
      <c r="P451" s="266">
        <v>0</v>
      </c>
      <c r="Q451" s="266">
        <f>+N451*P451</f>
        <v>0</v>
      </c>
      <c r="R451" s="267">
        <f>IF(J451="","",Q451/M451)</f>
        <v>0</v>
      </c>
      <c r="S451" s="266">
        <f>+IF(W451="DDS",Q451,0)</f>
        <v>0</v>
      </c>
      <c r="T451" s="266">
        <f>+IF(W451="ADD",Q451,0)</f>
        <v>0</v>
      </c>
      <c r="U451" s="266">
        <f>+IF(W451="DDS",0,IF(W451="ADD",0,Q451))</f>
        <v>0</v>
      </c>
      <c r="V451" s="266">
        <v>0</v>
      </c>
    </row>
    <row r="452" spans="1:22" ht="27.95" hidden="1" customHeight="1">
      <c r="A452" s="260"/>
      <c r="B452" s="260"/>
      <c r="C452" s="260"/>
      <c r="D452" s="260"/>
      <c r="E452" s="260"/>
      <c r="F452" s="260"/>
      <c r="G452" s="260"/>
      <c r="H452" s="290" t="s">
        <v>1331</v>
      </c>
      <c r="I452" s="230"/>
      <c r="J452" s="262">
        <v>70</v>
      </c>
      <c r="K452" s="263" t="s">
        <v>1042</v>
      </c>
      <c r="L452" s="264">
        <v>35000</v>
      </c>
      <c r="M452" s="265">
        <f>+J452*L452</f>
        <v>2450000</v>
      </c>
      <c r="N452" s="262">
        <v>70</v>
      </c>
      <c r="O452" s="263" t="s">
        <v>1042</v>
      </c>
      <c r="P452" s="264">
        <v>35000</v>
      </c>
      <c r="Q452" s="266">
        <f>+N452*P452</f>
        <v>2450000</v>
      </c>
      <c r="R452" s="267">
        <f>IF(J452="","",Q452/M452)</f>
        <v>1</v>
      </c>
      <c r="S452" s="266">
        <f>+IF(W452="DDS",Q452,0)</f>
        <v>0</v>
      </c>
      <c r="T452" s="266">
        <f>+IF(W452="ADD",Q452,0)</f>
        <v>0</v>
      </c>
      <c r="U452" s="266">
        <f>+IF(W452="DDS",0,IF(W452="ADD",0,Q452))</f>
        <v>2450000</v>
      </c>
      <c r="V452" s="266">
        <v>0</v>
      </c>
    </row>
    <row r="453" spans="1:22" ht="27.95" hidden="1" customHeight="1">
      <c r="A453" s="260"/>
      <c r="B453" s="260"/>
      <c r="C453" s="260"/>
      <c r="D453" s="260">
        <v>5</v>
      </c>
      <c r="E453" s="260">
        <v>2</v>
      </c>
      <c r="F453" s="260">
        <v>1</v>
      </c>
      <c r="G453" s="260">
        <v>99</v>
      </c>
      <c r="H453" s="293" t="s">
        <v>258</v>
      </c>
      <c r="I453" s="230"/>
      <c r="J453" s="262"/>
      <c r="K453" s="263"/>
      <c r="L453" s="264"/>
      <c r="M453" s="265"/>
      <c r="N453" s="266"/>
      <c r="O453" s="261"/>
      <c r="P453" s="266"/>
      <c r="Q453" s="266"/>
      <c r="R453" s="267"/>
      <c r="S453" s="266"/>
      <c r="T453" s="266"/>
      <c r="U453" s="266"/>
      <c r="V453" s="266"/>
    </row>
    <row r="454" spans="1:22" ht="27.95" hidden="1" customHeight="1">
      <c r="A454" s="260"/>
      <c r="B454" s="260"/>
      <c r="C454" s="260"/>
      <c r="D454" s="260"/>
      <c r="E454" s="260"/>
      <c r="F454" s="260"/>
      <c r="G454" s="260"/>
      <c r="H454" s="293" t="s">
        <v>1332</v>
      </c>
      <c r="I454" s="230"/>
      <c r="J454" s="262">
        <v>1</v>
      </c>
      <c r="K454" s="263" t="s">
        <v>1034</v>
      </c>
      <c r="L454" s="264">
        <v>450000</v>
      </c>
      <c r="M454" s="265">
        <f>+J454*L454</f>
        <v>450000</v>
      </c>
      <c r="N454" s="262">
        <v>1</v>
      </c>
      <c r="O454" s="263" t="s">
        <v>1034</v>
      </c>
      <c r="P454" s="264">
        <v>450000</v>
      </c>
      <c r="Q454" s="266">
        <f>+N454*P454</f>
        <v>450000</v>
      </c>
      <c r="R454" s="267">
        <f>IF(J454="","",Q454/M454)</f>
        <v>1</v>
      </c>
      <c r="S454" s="266">
        <f>+IF(W454="DDS",Q454,0)</f>
        <v>0</v>
      </c>
      <c r="T454" s="266">
        <f>+IF(W454="ADD",Q454,0)</f>
        <v>0</v>
      </c>
      <c r="U454" s="266">
        <f>+IF(W454="DDS",0,IF(W454="ADD",0,Q454))</f>
        <v>450000</v>
      </c>
      <c r="V454" s="266">
        <v>0</v>
      </c>
    </row>
    <row r="455" spans="1:22" ht="27.95" hidden="1" customHeight="1">
      <c r="A455" s="260">
        <v>2</v>
      </c>
      <c r="B455" s="260">
        <v>1</v>
      </c>
      <c r="C455" s="269" t="s">
        <v>1043</v>
      </c>
      <c r="D455" s="252">
        <v>5</v>
      </c>
      <c r="E455" s="252">
        <v>2</v>
      </c>
      <c r="F455" s="252">
        <v>2</v>
      </c>
      <c r="G455" s="252"/>
      <c r="H455" s="292" t="s">
        <v>1278</v>
      </c>
      <c r="I455" s="230"/>
      <c r="J455" s="254"/>
      <c r="K455" s="255"/>
      <c r="L455" s="256"/>
      <c r="M455" s="257">
        <f>M456</f>
        <v>3000000</v>
      </c>
      <c r="N455" s="266"/>
      <c r="O455" s="261"/>
      <c r="P455" s="266"/>
      <c r="Q455" s="257">
        <f>Q456</f>
        <v>2750000</v>
      </c>
      <c r="R455" s="267"/>
      <c r="S455" s="257">
        <f>S456</f>
        <v>0</v>
      </c>
      <c r="T455" s="257">
        <f>T456</f>
        <v>0</v>
      </c>
      <c r="U455" s="257">
        <f>U456</f>
        <v>2750000</v>
      </c>
      <c r="V455" s="257">
        <f>V456</f>
        <v>0</v>
      </c>
    </row>
    <row r="456" spans="1:22" ht="27.95" hidden="1" customHeight="1">
      <c r="A456" s="260">
        <v>2</v>
      </c>
      <c r="B456" s="260">
        <v>1</v>
      </c>
      <c r="C456" s="269" t="s">
        <v>1043</v>
      </c>
      <c r="D456" s="260">
        <v>5</v>
      </c>
      <c r="E456" s="260">
        <v>2</v>
      </c>
      <c r="F456" s="260">
        <v>2</v>
      </c>
      <c r="G456" s="269" t="s">
        <v>1038</v>
      </c>
      <c r="H456" s="290" t="s">
        <v>1333</v>
      </c>
      <c r="I456" s="230"/>
      <c r="J456" s="262">
        <v>12</v>
      </c>
      <c r="K456" s="263" t="s">
        <v>966</v>
      </c>
      <c r="L456" s="264">
        <v>250000</v>
      </c>
      <c r="M456" s="265">
        <f>+J456*L456</f>
        <v>3000000</v>
      </c>
      <c r="N456" s="266">
        <v>11</v>
      </c>
      <c r="O456" s="261" t="s">
        <v>966</v>
      </c>
      <c r="P456" s="266">
        <v>250000</v>
      </c>
      <c r="Q456" s="266">
        <f>+N456*P456</f>
        <v>2750000</v>
      </c>
      <c r="R456" s="267">
        <f>IF(J456="","",Q456/M456)</f>
        <v>0.91666666666666663</v>
      </c>
      <c r="S456" s="266">
        <f>+IF(W456="DDS",Q456,0)</f>
        <v>0</v>
      </c>
      <c r="T456" s="266">
        <f>+IF(W456="ADD",Q456,0)</f>
        <v>0</v>
      </c>
      <c r="U456" s="266">
        <f>+IF(W456="DDS",0,IF(W456="ADD",0,Q456))</f>
        <v>2750000</v>
      </c>
      <c r="V456" s="266">
        <v>0</v>
      </c>
    </row>
    <row r="457" spans="1:22" ht="27.95" customHeight="1">
      <c r="A457" s="260">
        <v>2</v>
      </c>
      <c r="B457" s="260">
        <v>1</v>
      </c>
      <c r="C457" s="269" t="s">
        <v>1049</v>
      </c>
      <c r="D457" s="260"/>
      <c r="E457" s="260"/>
      <c r="F457" s="269"/>
      <c r="G457" s="260"/>
      <c r="H457" s="291" t="s">
        <v>1334</v>
      </c>
      <c r="I457" s="230" t="s">
        <v>1335</v>
      </c>
      <c r="J457" s="262"/>
      <c r="K457" s="263">
        <v>1</v>
      </c>
      <c r="L457" s="264" t="s">
        <v>1538</v>
      </c>
      <c r="M457" s="234">
        <f>M458</f>
        <v>24365000</v>
      </c>
      <c r="N457" s="266"/>
      <c r="O457" s="263">
        <v>1</v>
      </c>
      <c r="P457" s="264" t="s">
        <v>1538</v>
      </c>
      <c r="Q457" s="234">
        <f>Q458</f>
        <v>24365000</v>
      </c>
      <c r="R457" s="236">
        <f>Q457/M457*100%</f>
        <v>1</v>
      </c>
      <c r="S457" s="234">
        <f>S458</f>
        <v>0</v>
      </c>
      <c r="T457" s="234">
        <f>T458</f>
        <v>0</v>
      </c>
      <c r="U457" s="234">
        <f>U458</f>
        <v>23765000</v>
      </c>
      <c r="V457" s="234">
        <f>V458</f>
        <v>0</v>
      </c>
    </row>
    <row r="458" spans="1:22" ht="27.95" hidden="1" customHeight="1">
      <c r="A458" s="260">
        <v>2</v>
      </c>
      <c r="B458" s="260">
        <v>1</v>
      </c>
      <c r="C458" s="269" t="s">
        <v>1049</v>
      </c>
      <c r="D458" s="244" t="s">
        <v>363</v>
      </c>
      <c r="E458" s="244" t="s">
        <v>970</v>
      </c>
      <c r="F458" s="244" t="s">
        <v>959</v>
      </c>
      <c r="G458" s="244" t="s">
        <v>959</v>
      </c>
      <c r="H458" s="245" t="s">
        <v>139</v>
      </c>
      <c r="I458" s="230"/>
      <c r="J458" s="246"/>
      <c r="K458" s="247"/>
      <c r="L458" s="248"/>
      <c r="M458" s="249">
        <f>M464+M460</f>
        <v>24365000</v>
      </c>
      <c r="N458" s="266"/>
      <c r="O458" s="261"/>
      <c r="P458" s="266"/>
      <c r="Q458" s="249">
        <f>Q464+Q459</f>
        <v>24365000</v>
      </c>
      <c r="R458" s="267"/>
      <c r="S458" s="249">
        <f>S464+S459</f>
        <v>0</v>
      </c>
      <c r="T458" s="249">
        <f>T464</f>
        <v>0</v>
      </c>
      <c r="U458" s="249">
        <f>U464</f>
        <v>23765000</v>
      </c>
      <c r="V458" s="249">
        <f>V464</f>
        <v>0</v>
      </c>
    </row>
    <row r="459" spans="1:22" ht="27.95" hidden="1" customHeight="1">
      <c r="A459" s="260">
        <v>2</v>
      </c>
      <c r="B459" s="260">
        <v>1</v>
      </c>
      <c r="C459" s="269" t="s">
        <v>1049</v>
      </c>
      <c r="D459" s="244">
        <v>5</v>
      </c>
      <c r="E459" s="244">
        <v>2</v>
      </c>
      <c r="F459" s="244">
        <v>2</v>
      </c>
      <c r="G459" s="244"/>
      <c r="H459" s="245" t="s">
        <v>1336</v>
      </c>
      <c r="I459" s="230"/>
      <c r="J459" s="246"/>
      <c r="K459" s="247"/>
      <c r="L459" s="248"/>
      <c r="M459" s="249">
        <f>M460</f>
        <v>600000</v>
      </c>
      <c r="N459" s="266"/>
      <c r="O459" s="261"/>
      <c r="P459" s="266"/>
      <c r="Q459" s="249">
        <f>SUM(Q461:Q463)</f>
        <v>600000</v>
      </c>
      <c r="R459" s="267"/>
      <c r="S459" s="249">
        <f>SUM(S461:S463)</f>
        <v>0</v>
      </c>
      <c r="T459" s="249"/>
      <c r="U459" s="249"/>
      <c r="V459" s="249"/>
    </row>
    <row r="460" spans="1:22" ht="27.95" hidden="1" customHeight="1">
      <c r="A460" s="260">
        <v>2</v>
      </c>
      <c r="B460" s="260">
        <v>1</v>
      </c>
      <c r="C460" s="269" t="s">
        <v>1049</v>
      </c>
      <c r="D460" s="244">
        <v>5</v>
      </c>
      <c r="E460" s="244">
        <v>2</v>
      </c>
      <c r="F460" s="244">
        <v>2</v>
      </c>
      <c r="G460" s="282" t="s">
        <v>960</v>
      </c>
      <c r="H460" s="245" t="s">
        <v>1236</v>
      </c>
      <c r="I460" s="230"/>
      <c r="J460" s="246"/>
      <c r="K460" s="247"/>
      <c r="L460" s="248"/>
      <c r="M460" s="249">
        <f>SUM(M461:M463)</f>
        <v>600000</v>
      </c>
      <c r="N460" s="266"/>
      <c r="O460" s="261"/>
      <c r="P460" s="266"/>
      <c r="Q460" s="249"/>
      <c r="R460" s="267"/>
      <c r="S460" s="249"/>
      <c r="T460" s="249"/>
      <c r="U460" s="249"/>
      <c r="V460" s="249"/>
    </row>
    <row r="461" spans="1:22" ht="27.95" hidden="1" customHeight="1">
      <c r="A461" s="260"/>
      <c r="B461" s="260"/>
      <c r="C461" s="269"/>
      <c r="D461" s="244"/>
      <c r="E461" s="244"/>
      <c r="F461" s="244"/>
      <c r="G461" s="244"/>
      <c r="H461" s="294" t="s">
        <v>1156</v>
      </c>
      <c r="I461" s="230"/>
      <c r="J461" s="262">
        <v>1</v>
      </c>
      <c r="K461" s="263" t="s">
        <v>967</v>
      </c>
      <c r="L461" s="264">
        <v>225000</v>
      </c>
      <c r="M461" s="265">
        <f>+J461*L461</f>
        <v>225000</v>
      </c>
      <c r="N461" s="262">
        <v>1</v>
      </c>
      <c r="O461" s="263" t="s">
        <v>967</v>
      </c>
      <c r="P461" s="264">
        <v>225000</v>
      </c>
      <c r="Q461" s="266">
        <f>+N461*P461</f>
        <v>225000</v>
      </c>
      <c r="R461" s="267">
        <f>IF(J461="","",Q461/M461)</f>
        <v>1</v>
      </c>
      <c r="S461" s="266">
        <f>+IF(W461="DDS",Q461,0)</f>
        <v>0</v>
      </c>
      <c r="T461" s="266">
        <f>+IF(W461="ADD",Q461,0)</f>
        <v>0</v>
      </c>
      <c r="U461" s="266">
        <f>+IF(W461="DDS",0,IF(W461="ADD",0,Q461))</f>
        <v>225000</v>
      </c>
      <c r="V461" s="266">
        <v>0</v>
      </c>
    </row>
    <row r="462" spans="1:22" ht="27.95" hidden="1" customHeight="1">
      <c r="A462" s="260"/>
      <c r="B462" s="260"/>
      <c r="C462" s="269"/>
      <c r="D462" s="244"/>
      <c r="E462" s="244"/>
      <c r="F462" s="244"/>
      <c r="G462" s="244"/>
      <c r="H462" s="294" t="s">
        <v>1157</v>
      </c>
      <c r="I462" s="230"/>
      <c r="J462" s="262">
        <v>1</v>
      </c>
      <c r="K462" s="263" t="s">
        <v>967</v>
      </c>
      <c r="L462" s="264">
        <v>200000</v>
      </c>
      <c r="M462" s="265">
        <f>+J462*L462</f>
        <v>200000</v>
      </c>
      <c r="N462" s="262">
        <v>1</v>
      </c>
      <c r="O462" s="263" t="s">
        <v>967</v>
      </c>
      <c r="P462" s="264">
        <v>200000</v>
      </c>
      <c r="Q462" s="266">
        <f>+N462*P462</f>
        <v>200000</v>
      </c>
      <c r="R462" s="267">
        <f>IF(J462="","",Q462/M462)</f>
        <v>1</v>
      </c>
      <c r="S462" s="266">
        <f>+IF(W462="DDS",Q462,0)</f>
        <v>0</v>
      </c>
      <c r="T462" s="266">
        <f>+IF(W462="ADD",Q462,0)</f>
        <v>0</v>
      </c>
      <c r="U462" s="266">
        <f>+IF(W462="DDS",0,IF(W462="ADD",0,Q462))</f>
        <v>200000</v>
      </c>
      <c r="V462" s="266">
        <v>0</v>
      </c>
    </row>
    <row r="463" spans="1:22" ht="27.95" hidden="1" customHeight="1">
      <c r="A463" s="260"/>
      <c r="B463" s="260"/>
      <c r="C463" s="269"/>
      <c r="D463" s="244"/>
      <c r="E463" s="244"/>
      <c r="F463" s="244"/>
      <c r="G463" s="244"/>
      <c r="H463" s="294" t="s">
        <v>1158</v>
      </c>
      <c r="I463" s="230"/>
      <c r="J463" s="262">
        <v>1</v>
      </c>
      <c r="K463" s="263" t="s">
        <v>967</v>
      </c>
      <c r="L463" s="264">
        <v>175000</v>
      </c>
      <c r="M463" s="265">
        <f>+J463*L463</f>
        <v>175000</v>
      </c>
      <c r="N463" s="262">
        <v>1</v>
      </c>
      <c r="O463" s="263" t="s">
        <v>967</v>
      </c>
      <c r="P463" s="264">
        <v>175000</v>
      </c>
      <c r="Q463" s="266">
        <f>+N463*P463</f>
        <v>175000</v>
      </c>
      <c r="R463" s="267">
        <f>IF(J463="","",Q463/M463)</f>
        <v>1</v>
      </c>
      <c r="S463" s="266">
        <f>+IF(W463="DDS",Q463,0)</f>
        <v>0</v>
      </c>
      <c r="T463" s="266">
        <f>+IF(W463="ADD",Q463,0)</f>
        <v>0</v>
      </c>
      <c r="U463" s="266">
        <f>+IF(W463="DDS",0,IF(W463="ADD",0,Q463))</f>
        <v>175000</v>
      </c>
      <c r="V463" s="266">
        <v>0</v>
      </c>
    </row>
    <row r="464" spans="1:22" ht="27.95" hidden="1" customHeight="1">
      <c r="A464" s="260">
        <v>2</v>
      </c>
      <c r="B464" s="260">
        <v>1</v>
      </c>
      <c r="C464" s="269" t="s">
        <v>1049</v>
      </c>
      <c r="D464" s="252">
        <v>5</v>
      </c>
      <c r="E464" s="252">
        <v>2</v>
      </c>
      <c r="F464" s="252">
        <v>6</v>
      </c>
      <c r="G464" s="252"/>
      <c r="H464" s="292" t="s">
        <v>1337</v>
      </c>
      <c r="I464" s="230"/>
      <c r="J464" s="254"/>
      <c r="K464" s="255"/>
      <c r="L464" s="256"/>
      <c r="M464" s="257">
        <f>SUM(M465:M471)</f>
        <v>23765000</v>
      </c>
      <c r="N464" s="266"/>
      <c r="O464" s="261"/>
      <c r="P464" s="266"/>
      <c r="Q464" s="257">
        <f>SUM(Q465:Q471)</f>
        <v>23765000</v>
      </c>
      <c r="R464" s="267"/>
      <c r="S464" s="257">
        <f>SUM(S465:S471)</f>
        <v>0</v>
      </c>
      <c r="T464" s="257">
        <f>SUM(T465:T471)</f>
        <v>0</v>
      </c>
      <c r="U464" s="257">
        <f>SUM(U465:U471)</f>
        <v>23765000</v>
      </c>
      <c r="V464" s="257">
        <f>SUM(V465:V471)</f>
        <v>0</v>
      </c>
    </row>
    <row r="465" spans="1:22" ht="27.95" hidden="1" customHeight="1">
      <c r="A465" s="260">
        <v>2</v>
      </c>
      <c r="B465" s="260">
        <v>1</v>
      </c>
      <c r="C465" s="269" t="s">
        <v>1049</v>
      </c>
      <c r="D465" s="260">
        <v>5</v>
      </c>
      <c r="E465" s="260">
        <v>2</v>
      </c>
      <c r="F465" s="260">
        <v>6</v>
      </c>
      <c r="G465" s="269" t="s">
        <v>1002</v>
      </c>
      <c r="H465" s="290" t="s">
        <v>1337</v>
      </c>
      <c r="I465" s="230"/>
      <c r="J465" s="262"/>
      <c r="K465" s="263"/>
      <c r="L465" s="264"/>
      <c r="M465" s="265"/>
      <c r="N465" s="266"/>
      <c r="O465" s="261"/>
      <c r="P465" s="266"/>
      <c r="Q465" s="266"/>
      <c r="R465" s="267"/>
      <c r="S465" s="266"/>
      <c r="T465" s="266"/>
      <c r="U465" s="266"/>
      <c r="V465" s="266"/>
    </row>
    <row r="466" spans="1:22" ht="27.95" hidden="1" customHeight="1">
      <c r="A466" s="260"/>
      <c r="B466" s="260"/>
      <c r="C466" s="260"/>
      <c r="D466" s="260"/>
      <c r="E466" s="260"/>
      <c r="F466" s="260"/>
      <c r="G466" s="269"/>
      <c r="H466" s="290" t="s">
        <v>1338</v>
      </c>
      <c r="I466" s="230"/>
      <c r="J466" s="262">
        <v>1</v>
      </c>
      <c r="K466" s="263" t="s">
        <v>1029</v>
      </c>
      <c r="L466" s="264">
        <v>10006000</v>
      </c>
      <c r="M466" s="265">
        <f t="shared" ref="M466:M471" si="81">+J466*L466</f>
        <v>10006000</v>
      </c>
      <c r="N466" s="262">
        <v>1</v>
      </c>
      <c r="O466" s="263" t="s">
        <v>1029</v>
      </c>
      <c r="P466" s="264">
        <v>10006000</v>
      </c>
      <c r="Q466" s="266">
        <f t="shared" ref="Q466:Q471" si="82">+N466*P466</f>
        <v>10006000</v>
      </c>
      <c r="R466" s="267">
        <f t="shared" ref="R466:R529" si="83">IF(J466="","",Q466/M466)</f>
        <v>1</v>
      </c>
      <c r="S466" s="266">
        <f t="shared" ref="S466:S471" si="84">+IF(W466="DDS",Q466,0)</f>
        <v>0</v>
      </c>
      <c r="T466" s="266">
        <f t="shared" ref="T466:T471" si="85">+IF(W466="ADD",Q466,0)</f>
        <v>0</v>
      </c>
      <c r="U466" s="266">
        <f t="shared" ref="U466:U471" si="86">+IF(W466="DDS",0,IF(W466="ADD",0,Q466))</f>
        <v>10006000</v>
      </c>
      <c r="V466" s="266">
        <v>0</v>
      </c>
    </row>
    <row r="467" spans="1:22" ht="27.95" hidden="1" customHeight="1">
      <c r="A467" s="260"/>
      <c r="B467" s="260"/>
      <c r="C467" s="260"/>
      <c r="D467" s="260"/>
      <c r="E467" s="260"/>
      <c r="F467" s="260"/>
      <c r="G467" s="269"/>
      <c r="H467" s="290" t="s">
        <v>1339</v>
      </c>
      <c r="I467" s="230"/>
      <c r="J467" s="262">
        <v>1</v>
      </c>
      <c r="K467" s="263" t="s">
        <v>1029</v>
      </c>
      <c r="L467" s="264">
        <v>7069000</v>
      </c>
      <c r="M467" s="265">
        <f t="shared" si="81"/>
        <v>7069000</v>
      </c>
      <c r="N467" s="262">
        <v>1</v>
      </c>
      <c r="O467" s="263" t="s">
        <v>1029</v>
      </c>
      <c r="P467" s="264">
        <v>7069000</v>
      </c>
      <c r="Q467" s="266">
        <f t="shared" si="82"/>
        <v>7069000</v>
      </c>
      <c r="R467" s="267">
        <f t="shared" si="83"/>
        <v>1</v>
      </c>
      <c r="S467" s="266">
        <f t="shared" si="84"/>
        <v>0</v>
      </c>
      <c r="T467" s="266">
        <f t="shared" si="85"/>
        <v>0</v>
      </c>
      <c r="U467" s="266">
        <f t="shared" si="86"/>
        <v>7069000</v>
      </c>
      <c r="V467" s="266">
        <v>0</v>
      </c>
    </row>
    <row r="468" spans="1:22" ht="27.95" hidden="1" customHeight="1">
      <c r="A468" s="260"/>
      <c r="B468" s="260"/>
      <c r="C468" s="260"/>
      <c r="D468" s="260"/>
      <c r="E468" s="260"/>
      <c r="F468" s="260"/>
      <c r="G468" s="269"/>
      <c r="H468" s="290" t="s">
        <v>1340</v>
      </c>
      <c r="I468" s="230"/>
      <c r="J468" s="262">
        <v>30</v>
      </c>
      <c r="K468" s="263" t="s">
        <v>1141</v>
      </c>
      <c r="L468" s="264">
        <v>85000</v>
      </c>
      <c r="M468" s="265">
        <f t="shared" si="81"/>
        <v>2550000</v>
      </c>
      <c r="N468" s="262">
        <v>30</v>
      </c>
      <c r="O468" s="263" t="s">
        <v>1141</v>
      </c>
      <c r="P468" s="264">
        <v>85000</v>
      </c>
      <c r="Q468" s="266">
        <f t="shared" si="82"/>
        <v>2550000</v>
      </c>
      <c r="R468" s="267">
        <f t="shared" si="83"/>
        <v>1</v>
      </c>
      <c r="S468" s="266">
        <f t="shared" si="84"/>
        <v>0</v>
      </c>
      <c r="T468" s="266">
        <f t="shared" si="85"/>
        <v>0</v>
      </c>
      <c r="U468" s="266">
        <f t="shared" si="86"/>
        <v>2550000</v>
      </c>
      <c r="V468" s="266">
        <v>0</v>
      </c>
    </row>
    <row r="469" spans="1:22" ht="27.95" hidden="1" customHeight="1">
      <c r="A469" s="260"/>
      <c r="B469" s="260"/>
      <c r="C469" s="260"/>
      <c r="D469" s="260"/>
      <c r="E469" s="260"/>
      <c r="F469" s="260"/>
      <c r="G469" s="269"/>
      <c r="H469" s="290" t="s">
        <v>1341</v>
      </c>
      <c r="I469" s="230"/>
      <c r="J469" s="262">
        <v>12</v>
      </c>
      <c r="K469" s="263" t="s">
        <v>1141</v>
      </c>
      <c r="L469" s="264">
        <v>80000</v>
      </c>
      <c r="M469" s="265">
        <f t="shared" si="81"/>
        <v>960000</v>
      </c>
      <c r="N469" s="262">
        <v>12</v>
      </c>
      <c r="O469" s="263" t="s">
        <v>1141</v>
      </c>
      <c r="P469" s="264">
        <v>80000</v>
      </c>
      <c r="Q469" s="266">
        <f t="shared" si="82"/>
        <v>960000</v>
      </c>
      <c r="R469" s="267">
        <f t="shared" si="83"/>
        <v>1</v>
      </c>
      <c r="S469" s="266">
        <f t="shared" si="84"/>
        <v>0</v>
      </c>
      <c r="T469" s="266">
        <f t="shared" si="85"/>
        <v>0</v>
      </c>
      <c r="U469" s="266">
        <f t="shared" si="86"/>
        <v>960000</v>
      </c>
      <c r="V469" s="266">
        <v>0</v>
      </c>
    </row>
    <row r="470" spans="1:22" ht="27.95" hidden="1" customHeight="1">
      <c r="A470" s="260"/>
      <c r="B470" s="260"/>
      <c r="C470" s="260"/>
      <c r="D470" s="260"/>
      <c r="E470" s="260"/>
      <c r="F470" s="260"/>
      <c r="G470" s="269"/>
      <c r="H470" s="290" t="s">
        <v>1342</v>
      </c>
      <c r="I470" s="230"/>
      <c r="J470" s="262">
        <v>28</v>
      </c>
      <c r="K470" s="263" t="s">
        <v>1141</v>
      </c>
      <c r="L470" s="264">
        <v>85000</v>
      </c>
      <c r="M470" s="265">
        <f t="shared" si="81"/>
        <v>2380000</v>
      </c>
      <c r="N470" s="262">
        <v>28</v>
      </c>
      <c r="O470" s="263" t="s">
        <v>1141</v>
      </c>
      <c r="P470" s="264">
        <v>85000</v>
      </c>
      <c r="Q470" s="266">
        <f t="shared" si="82"/>
        <v>2380000</v>
      </c>
      <c r="R470" s="267">
        <f t="shared" si="83"/>
        <v>1</v>
      </c>
      <c r="S470" s="266">
        <f t="shared" si="84"/>
        <v>0</v>
      </c>
      <c r="T470" s="266">
        <f t="shared" si="85"/>
        <v>0</v>
      </c>
      <c r="U470" s="266">
        <f t="shared" si="86"/>
        <v>2380000</v>
      </c>
      <c r="V470" s="266">
        <v>0</v>
      </c>
    </row>
    <row r="471" spans="1:22" ht="27.95" hidden="1" customHeight="1">
      <c r="A471" s="260"/>
      <c r="B471" s="260"/>
      <c r="C471" s="260"/>
      <c r="D471" s="260"/>
      <c r="E471" s="260"/>
      <c r="F471" s="260"/>
      <c r="G471" s="269"/>
      <c r="H471" s="290" t="s">
        <v>1343</v>
      </c>
      <c r="I471" s="230"/>
      <c r="J471" s="262">
        <v>10</v>
      </c>
      <c r="K471" s="263" t="s">
        <v>1141</v>
      </c>
      <c r="L471" s="264">
        <v>80000</v>
      </c>
      <c r="M471" s="265">
        <f t="shared" si="81"/>
        <v>800000</v>
      </c>
      <c r="N471" s="262">
        <v>10</v>
      </c>
      <c r="O471" s="263" t="s">
        <v>1141</v>
      </c>
      <c r="P471" s="264">
        <v>80000</v>
      </c>
      <c r="Q471" s="266">
        <f t="shared" si="82"/>
        <v>800000</v>
      </c>
      <c r="R471" s="267">
        <f t="shared" si="83"/>
        <v>1</v>
      </c>
      <c r="S471" s="266">
        <f t="shared" si="84"/>
        <v>0</v>
      </c>
      <c r="T471" s="266">
        <f t="shared" si="85"/>
        <v>0</v>
      </c>
      <c r="U471" s="266">
        <f t="shared" si="86"/>
        <v>800000</v>
      </c>
      <c r="V471" s="266">
        <v>0</v>
      </c>
    </row>
    <row r="472" spans="1:22" ht="27.95" customHeight="1">
      <c r="A472" s="229" t="s">
        <v>970</v>
      </c>
      <c r="B472" s="229" t="s">
        <v>963</v>
      </c>
      <c r="C472" s="260"/>
      <c r="D472" s="229"/>
      <c r="E472" s="229"/>
      <c r="F472" s="229" t="s">
        <v>959</v>
      </c>
      <c r="G472" s="229" t="s">
        <v>959</v>
      </c>
      <c r="H472" s="238" t="s">
        <v>164</v>
      </c>
      <c r="I472" s="230"/>
      <c r="J472" s="231"/>
      <c r="K472" s="232"/>
      <c r="L472" s="237"/>
      <c r="M472" s="234">
        <f>M473+M485+M508+M526+M518+M532</f>
        <v>201470000</v>
      </c>
      <c r="N472" s="266"/>
      <c r="O472" s="261"/>
      <c r="P472" s="266"/>
      <c r="Q472" s="234">
        <f>Q473+Q485+Q508+Q518+Q526+Q532</f>
        <v>188322500</v>
      </c>
      <c r="R472" s="236">
        <f>Q472/M472*100%</f>
        <v>0.93474214523254084</v>
      </c>
      <c r="S472" s="234">
        <f>S473+S485+S508+S518+S526+S532</f>
        <v>0</v>
      </c>
      <c r="T472" s="234">
        <f>T473+T485+T508+T518+T526+T532</f>
        <v>0</v>
      </c>
      <c r="U472" s="234">
        <f>U473+U485+U508+U518+U526+U532</f>
        <v>203642500</v>
      </c>
      <c r="V472" s="234">
        <f>V473+V485+V508+V518+V526+V532</f>
        <v>0</v>
      </c>
    </row>
    <row r="473" spans="1:22" ht="27.95" customHeight="1">
      <c r="A473" s="229" t="s">
        <v>970</v>
      </c>
      <c r="B473" s="229" t="s">
        <v>963</v>
      </c>
      <c r="C473" s="229" t="s">
        <v>963</v>
      </c>
      <c r="D473" s="229"/>
      <c r="E473" s="229"/>
      <c r="F473" s="229"/>
      <c r="G473" s="229"/>
      <c r="H473" s="238" t="s">
        <v>365</v>
      </c>
      <c r="I473" s="230" t="s">
        <v>1344</v>
      </c>
      <c r="J473" s="239"/>
      <c r="K473" s="240">
        <v>12</v>
      </c>
      <c r="L473" s="241" t="s">
        <v>1073</v>
      </c>
      <c r="M473" s="234">
        <f>+M474</f>
        <v>65150000</v>
      </c>
      <c r="N473" s="266"/>
      <c r="O473" s="240">
        <v>12</v>
      </c>
      <c r="P473" s="241" t="s">
        <v>1073</v>
      </c>
      <c r="Q473" s="234">
        <f>+Q474</f>
        <v>60375000</v>
      </c>
      <c r="R473" s="236">
        <f>Q473/M473*100%</f>
        <v>0.92670759785111279</v>
      </c>
      <c r="S473" s="234">
        <f>+S474</f>
        <v>0</v>
      </c>
      <c r="T473" s="234">
        <f>+T474</f>
        <v>0</v>
      </c>
      <c r="U473" s="234">
        <f>+U474</f>
        <v>60375000</v>
      </c>
      <c r="V473" s="234">
        <f>+V474</f>
        <v>0</v>
      </c>
    </row>
    <row r="474" spans="1:22" ht="27.95" hidden="1" customHeight="1">
      <c r="A474" s="229" t="s">
        <v>970</v>
      </c>
      <c r="B474" s="229" t="s">
        <v>963</v>
      </c>
      <c r="C474" s="229" t="s">
        <v>963</v>
      </c>
      <c r="D474" s="244" t="s">
        <v>363</v>
      </c>
      <c r="E474" s="244" t="s">
        <v>970</v>
      </c>
      <c r="F474" s="244" t="s">
        <v>959</v>
      </c>
      <c r="G474" s="244" t="s">
        <v>959</v>
      </c>
      <c r="H474" s="245" t="s">
        <v>1026</v>
      </c>
      <c r="I474" s="238"/>
      <c r="J474" s="246"/>
      <c r="K474" s="247"/>
      <c r="L474" s="248"/>
      <c r="M474" s="249">
        <f>+M475+M477+M480</f>
        <v>65150000</v>
      </c>
      <c r="N474" s="266"/>
      <c r="O474" s="261"/>
      <c r="P474" s="266"/>
      <c r="Q474" s="249">
        <f>+Q475+Q477+Q480</f>
        <v>60375000</v>
      </c>
      <c r="R474" s="267" t="str">
        <f t="shared" si="83"/>
        <v/>
      </c>
      <c r="S474" s="249">
        <f>+S475+S477+S480</f>
        <v>0</v>
      </c>
      <c r="T474" s="249">
        <f>+T475+T477+T480</f>
        <v>0</v>
      </c>
      <c r="U474" s="249">
        <f>+U475+U477+U480</f>
        <v>60375000</v>
      </c>
      <c r="V474" s="249">
        <f>+V475+V477+V480</f>
        <v>0</v>
      </c>
    </row>
    <row r="475" spans="1:22" ht="27.95" hidden="1" customHeight="1">
      <c r="A475" s="229" t="s">
        <v>970</v>
      </c>
      <c r="B475" s="229" t="s">
        <v>963</v>
      </c>
      <c r="C475" s="229" t="s">
        <v>963</v>
      </c>
      <c r="D475" s="252" t="s">
        <v>363</v>
      </c>
      <c r="E475" s="252" t="s">
        <v>970</v>
      </c>
      <c r="F475" s="252" t="s">
        <v>362</v>
      </c>
      <c r="G475" s="252" t="s">
        <v>959</v>
      </c>
      <c r="H475" s="253" t="s">
        <v>134</v>
      </c>
      <c r="I475" s="238"/>
      <c r="J475" s="254"/>
      <c r="K475" s="255"/>
      <c r="L475" s="256"/>
      <c r="M475" s="257">
        <f>+M476</f>
        <v>4400000</v>
      </c>
      <c r="N475" s="266"/>
      <c r="O475" s="261"/>
      <c r="P475" s="266"/>
      <c r="Q475" s="257">
        <f>+Q476</f>
        <v>4200000</v>
      </c>
      <c r="R475" s="267" t="str">
        <f t="shared" si="83"/>
        <v/>
      </c>
      <c r="S475" s="257">
        <f>+S476</f>
        <v>0</v>
      </c>
      <c r="T475" s="257">
        <f>+T476</f>
        <v>0</v>
      </c>
      <c r="U475" s="257">
        <f>+U476</f>
        <v>4200000</v>
      </c>
      <c r="V475" s="257">
        <f>+V476</f>
        <v>0</v>
      </c>
    </row>
    <row r="476" spans="1:22" ht="27.95" hidden="1" customHeight="1">
      <c r="A476" s="229" t="s">
        <v>970</v>
      </c>
      <c r="B476" s="229" t="s">
        <v>963</v>
      </c>
      <c r="C476" s="229" t="s">
        <v>963</v>
      </c>
      <c r="D476" s="260" t="s">
        <v>363</v>
      </c>
      <c r="E476" s="260" t="s">
        <v>970</v>
      </c>
      <c r="F476" s="260" t="s">
        <v>362</v>
      </c>
      <c r="G476" s="260" t="s">
        <v>1040</v>
      </c>
      <c r="H476" s="261" t="s">
        <v>527</v>
      </c>
      <c r="I476" s="238"/>
      <c r="J476" s="262">
        <v>440</v>
      </c>
      <c r="K476" s="263" t="s">
        <v>1042</v>
      </c>
      <c r="L476" s="264">
        <v>10000</v>
      </c>
      <c r="M476" s="265">
        <f>+J476*L476</f>
        <v>4400000</v>
      </c>
      <c r="N476" s="266">
        <f>325+95</f>
        <v>420</v>
      </c>
      <c r="O476" s="261" t="s">
        <v>1042</v>
      </c>
      <c r="P476" s="266">
        <v>10000</v>
      </c>
      <c r="Q476" s="266">
        <f>+N476*P476</f>
        <v>4200000</v>
      </c>
      <c r="R476" s="267">
        <f t="shared" si="83"/>
        <v>0.95454545454545459</v>
      </c>
      <c r="S476" s="266">
        <f>+IF(W476="DDS",Q476,0)</f>
        <v>0</v>
      </c>
      <c r="T476" s="266">
        <f>+IF(W476="ADD",Q476,0)</f>
        <v>0</v>
      </c>
      <c r="U476" s="266">
        <f>+IF(W476="DDS",0,IF(W476="ADD",0,Q476))</f>
        <v>4200000</v>
      </c>
      <c r="V476" s="266">
        <v>0</v>
      </c>
    </row>
    <row r="477" spans="1:22" ht="27.95" hidden="1" customHeight="1">
      <c r="A477" s="229" t="s">
        <v>970</v>
      </c>
      <c r="B477" s="229" t="s">
        <v>963</v>
      </c>
      <c r="C477" s="229" t="s">
        <v>963</v>
      </c>
      <c r="D477" s="252" t="s">
        <v>363</v>
      </c>
      <c r="E477" s="252" t="s">
        <v>970</v>
      </c>
      <c r="F477" s="252" t="s">
        <v>970</v>
      </c>
      <c r="G477" s="252" t="s">
        <v>959</v>
      </c>
      <c r="H477" s="253" t="s">
        <v>135</v>
      </c>
      <c r="I477" s="238"/>
      <c r="J477" s="254"/>
      <c r="K477" s="255"/>
      <c r="L477" s="256"/>
      <c r="M477" s="257">
        <f>+SUM(M478:M479)</f>
        <v>27000000</v>
      </c>
      <c r="N477" s="266">
        <v>0</v>
      </c>
      <c r="O477" s="261"/>
      <c r="P477" s="266">
        <v>0</v>
      </c>
      <c r="Q477" s="257">
        <f>+SUM(Q478:Q479)</f>
        <v>27000000</v>
      </c>
      <c r="R477" s="267" t="str">
        <f t="shared" si="83"/>
        <v/>
      </c>
      <c r="S477" s="257">
        <f>+SUM(S478:S479)</f>
        <v>0</v>
      </c>
      <c r="T477" s="257">
        <f>+SUM(T478:T479)</f>
        <v>0</v>
      </c>
      <c r="U477" s="257">
        <f>+SUM(U478:U479)</f>
        <v>27000000</v>
      </c>
      <c r="V477" s="257">
        <f>+SUM(V478:V479)</f>
        <v>0</v>
      </c>
    </row>
    <row r="478" spans="1:22" ht="27.95" hidden="1" customHeight="1">
      <c r="A478" s="229" t="s">
        <v>970</v>
      </c>
      <c r="B478" s="229" t="s">
        <v>963</v>
      </c>
      <c r="C478" s="229" t="s">
        <v>963</v>
      </c>
      <c r="D478" s="260" t="s">
        <v>363</v>
      </c>
      <c r="E478" s="260" t="s">
        <v>970</v>
      </c>
      <c r="F478" s="260" t="s">
        <v>970</v>
      </c>
      <c r="G478" s="260" t="s">
        <v>1076</v>
      </c>
      <c r="H478" s="261" t="s">
        <v>533</v>
      </c>
      <c r="I478" s="238"/>
      <c r="J478" s="262"/>
      <c r="K478" s="263"/>
      <c r="L478" s="264"/>
      <c r="M478" s="265"/>
      <c r="N478" s="266">
        <v>0</v>
      </c>
      <c r="O478" s="261"/>
      <c r="P478" s="266">
        <v>0</v>
      </c>
      <c r="Q478" s="266">
        <f>+N478*P478</f>
        <v>0</v>
      </c>
      <c r="R478" s="267" t="str">
        <f t="shared" si="83"/>
        <v/>
      </c>
      <c r="S478" s="266">
        <f>+IF(W478="DDS",Q478,0)</f>
        <v>0</v>
      </c>
      <c r="T478" s="266">
        <f>+IF(W478="ADD",Q478,0)</f>
        <v>0</v>
      </c>
      <c r="U478" s="266">
        <f>+IF(W478="DDS",0,IF(W478="ADD",0,Q478))</f>
        <v>0</v>
      </c>
      <c r="V478" s="266">
        <v>0</v>
      </c>
    </row>
    <row r="479" spans="1:22" ht="27.95" hidden="1" customHeight="1">
      <c r="A479" s="229"/>
      <c r="B479" s="229"/>
      <c r="C479" s="229"/>
      <c r="D479" s="260"/>
      <c r="E479" s="260"/>
      <c r="F479" s="260"/>
      <c r="G479" s="260"/>
      <c r="H479" s="268" t="s">
        <v>1345</v>
      </c>
      <c r="I479" s="238"/>
      <c r="J479" s="262">
        <v>360</v>
      </c>
      <c r="K479" s="263" t="s">
        <v>966</v>
      </c>
      <c r="L479" s="264">
        <v>75000</v>
      </c>
      <c r="M479" s="265">
        <f>+J479*L479</f>
        <v>27000000</v>
      </c>
      <c r="N479" s="266">
        <f>210+150</f>
        <v>360</v>
      </c>
      <c r="O479" s="261" t="s">
        <v>966</v>
      </c>
      <c r="P479" s="266">
        <v>75000</v>
      </c>
      <c r="Q479" s="266">
        <f>+N479*P479</f>
        <v>27000000</v>
      </c>
      <c r="R479" s="267">
        <f t="shared" si="83"/>
        <v>1</v>
      </c>
      <c r="S479" s="266">
        <f>+IF(W479="DDS",Q479,0)</f>
        <v>0</v>
      </c>
      <c r="T479" s="266">
        <f>+IF(W479="ADD",Q479,0)</f>
        <v>0</v>
      </c>
      <c r="U479" s="266">
        <f>+IF(W479="DDS",0,IF(W479="ADD",0,Q479))</f>
        <v>27000000</v>
      </c>
      <c r="V479" s="266">
        <v>0</v>
      </c>
    </row>
    <row r="480" spans="1:22" ht="27.95" hidden="1" customHeight="1">
      <c r="A480" s="229" t="s">
        <v>970</v>
      </c>
      <c r="B480" s="229" t="s">
        <v>963</v>
      </c>
      <c r="C480" s="229" t="s">
        <v>963</v>
      </c>
      <c r="D480" s="252" t="s">
        <v>363</v>
      </c>
      <c r="E480" s="252" t="s">
        <v>970</v>
      </c>
      <c r="F480" s="252" t="s">
        <v>1346</v>
      </c>
      <c r="G480" s="252" t="s">
        <v>959</v>
      </c>
      <c r="H480" s="253" t="s">
        <v>1347</v>
      </c>
      <c r="I480" s="230"/>
      <c r="J480" s="254"/>
      <c r="K480" s="255"/>
      <c r="L480" s="256"/>
      <c r="M480" s="257">
        <f>+SUM(M481:M484)</f>
        <v>33750000</v>
      </c>
      <c r="N480" s="266"/>
      <c r="O480" s="261"/>
      <c r="P480" s="266"/>
      <c r="Q480" s="257">
        <f>+SUM(Q481:Q484)</f>
        <v>29175000</v>
      </c>
      <c r="R480" s="267" t="str">
        <f t="shared" si="83"/>
        <v/>
      </c>
      <c r="S480" s="257">
        <f>+SUM(S481:S484)</f>
        <v>0</v>
      </c>
      <c r="T480" s="257">
        <f>+SUM(T481:T484)</f>
        <v>0</v>
      </c>
      <c r="U480" s="257">
        <f>+SUM(U481:U484)</f>
        <v>29175000</v>
      </c>
      <c r="V480" s="257">
        <f>+SUM(V481:V484)</f>
        <v>0</v>
      </c>
    </row>
    <row r="481" spans="1:22" ht="27.95" hidden="1" customHeight="1">
      <c r="A481" s="229" t="s">
        <v>970</v>
      </c>
      <c r="B481" s="229" t="s">
        <v>963</v>
      </c>
      <c r="C481" s="229" t="s">
        <v>963</v>
      </c>
      <c r="D481" s="260" t="s">
        <v>363</v>
      </c>
      <c r="E481" s="260" t="s">
        <v>970</v>
      </c>
      <c r="F481" s="260" t="s">
        <v>1346</v>
      </c>
      <c r="G481" s="260">
        <v>99</v>
      </c>
      <c r="H481" s="261" t="s">
        <v>256</v>
      </c>
      <c r="I481" s="230"/>
      <c r="J481" s="262"/>
      <c r="K481" s="263"/>
      <c r="L481" s="264"/>
      <c r="M481" s="265"/>
      <c r="N481" s="266">
        <v>0</v>
      </c>
      <c r="O481" s="261"/>
      <c r="P481" s="266">
        <v>0</v>
      </c>
      <c r="Q481" s="266">
        <f>+N481*P481</f>
        <v>0</v>
      </c>
      <c r="R481" s="267" t="str">
        <f t="shared" si="83"/>
        <v/>
      </c>
      <c r="S481" s="266">
        <f>+IF(W481="DDS",Q481,0)</f>
        <v>0</v>
      </c>
      <c r="T481" s="266">
        <f>+IF(W481="ADD",Q481,0)</f>
        <v>0</v>
      </c>
      <c r="U481" s="266">
        <f>+IF(W481="DDS",0,IF(W481="ADD",0,Q481))</f>
        <v>0</v>
      </c>
      <c r="V481" s="266">
        <v>0</v>
      </c>
    </row>
    <row r="482" spans="1:22" ht="27.95" hidden="1" customHeight="1">
      <c r="A482" s="260"/>
      <c r="B482" s="260"/>
      <c r="C482" s="260"/>
      <c r="D482" s="260"/>
      <c r="E482" s="260"/>
      <c r="F482" s="260"/>
      <c r="G482" s="260"/>
      <c r="H482" s="268" t="s">
        <v>1348</v>
      </c>
      <c r="I482" s="230"/>
      <c r="J482" s="262">
        <v>3156</v>
      </c>
      <c r="K482" s="263" t="s">
        <v>1042</v>
      </c>
      <c r="L482" s="264">
        <v>7500</v>
      </c>
      <c r="M482" s="265">
        <f>+J482*L482</f>
        <v>23670000</v>
      </c>
      <c r="N482" s="266">
        <f>935+1071+1044</f>
        <v>3050</v>
      </c>
      <c r="O482" s="261" t="s">
        <v>1042</v>
      </c>
      <c r="P482" s="266">
        <v>7500</v>
      </c>
      <c r="Q482" s="266">
        <f>+N482*P482</f>
        <v>22875000</v>
      </c>
      <c r="R482" s="267">
        <f t="shared" si="83"/>
        <v>0.96641318124207853</v>
      </c>
      <c r="S482" s="266">
        <f>+IF(W482="DDS",Q482,0)</f>
        <v>0</v>
      </c>
      <c r="T482" s="266">
        <f>+IF(W482="ADD",Q482,0)</f>
        <v>0</v>
      </c>
      <c r="U482" s="266">
        <f>+IF(W482="DDS",0,IF(W482="ADD",0,Q482))</f>
        <v>22875000</v>
      </c>
      <c r="V482" s="266">
        <v>0</v>
      </c>
    </row>
    <row r="483" spans="1:22" ht="27.95" hidden="1" customHeight="1">
      <c r="A483" s="295"/>
      <c r="B483" s="229"/>
      <c r="C483" s="270"/>
      <c r="D483" s="260"/>
      <c r="E483" s="260"/>
      <c r="F483" s="260"/>
      <c r="G483" s="260"/>
      <c r="H483" s="268" t="s">
        <v>1349</v>
      </c>
      <c r="I483" s="230"/>
      <c r="J483" s="262">
        <v>336</v>
      </c>
      <c r="K483" s="263" t="s">
        <v>1042</v>
      </c>
      <c r="L483" s="264">
        <v>30000</v>
      </c>
      <c r="M483" s="265">
        <f>+J483*L483</f>
        <v>10080000</v>
      </c>
      <c r="N483" s="266">
        <f>138+72</f>
        <v>210</v>
      </c>
      <c r="O483" s="261" t="s">
        <v>1042</v>
      </c>
      <c r="P483" s="266">
        <v>30000</v>
      </c>
      <c r="Q483" s="266">
        <f>+N483*P483</f>
        <v>6300000</v>
      </c>
      <c r="R483" s="267">
        <f t="shared" si="83"/>
        <v>0.625</v>
      </c>
      <c r="S483" s="266">
        <f>+IF(W483="DDS",Q483,0)</f>
        <v>0</v>
      </c>
      <c r="T483" s="266">
        <f>+IF(W483="ADD",Q483,0)</f>
        <v>0</v>
      </c>
      <c r="U483" s="266">
        <f>+IF(W483="DDS",0,IF(W483="ADD",0,Q483))</f>
        <v>6300000</v>
      </c>
      <c r="V483" s="266">
        <v>0</v>
      </c>
    </row>
    <row r="484" spans="1:22" ht="27.95" hidden="1" customHeight="1">
      <c r="A484" s="260"/>
      <c r="B484" s="260"/>
      <c r="C484" s="269"/>
      <c r="D484" s="260"/>
      <c r="E484" s="260"/>
      <c r="F484" s="260"/>
      <c r="G484" s="260"/>
      <c r="H484" s="268" t="s">
        <v>1350</v>
      </c>
      <c r="I484" s="230"/>
      <c r="J484" s="262">
        <v>0</v>
      </c>
      <c r="K484" s="263" t="s">
        <v>1029</v>
      </c>
      <c r="L484" s="264">
        <v>0</v>
      </c>
      <c r="M484" s="265">
        <f>+J484*L484</f>
        <v>0</v>
      </c>
      <c r="N484" s="266">
        <v>0</v>
      </c>
      <c r="O484" s="261"/>
      <c r="P484" s="266">
        <v>0</v>
      </c>
      <c r="Q484" s="266">
        <f>+N484*P484</f>
        <v>0</v>
      </c>
      <c r="R484" s="267"/>
      <c r="S484" s="266">
        <f>+IF(W484="DDS",Q484,0)</f>
        <v>0</v>
      </c>
      <c r="T484" s="266">
        <f>+IF(W484="ADD",Q484,0)</f>
        <v>0</v>
      </c>
      <c r="U484" s="266">
        <f>+IF(W484="DDS",0,IF(W484="ADD",0,Q484))</f>
        <v>0</v>
      </c>
      <c r="V484" s="266">
        <v>0</v>
      </c>
    </row>
    <row r="485" spans="1:22" ht="27.95" customHeight="1">
      <c r="A485" s="229">
        <v>2</v>
      </c>
      <c r="B485" s="229">
        <v>2</v>
      </c>
      <c r="C485" s="270" t="s">
        <v>995</v>
      </c>
      <c r="D485" s="229"/>
      <c r="E485" s="229"/>
      <c r="F485" s="270"/>
      <c r="G485" s="229"/>
      <c r="H485" s="296" t="s">
        <v>1351</v>
      </c>
      <c r="I485" s="230" t="s">
        <v>1352</v>
      </c>
      <c r="J485" s="262"/>
      <c r="K485" s="263">
        <v>2</v>
      </c>
      <c r="L485" s="264" t="s">
        <v>386</v>
      </c>
      <c r="M485" s="234">
        <f>M486</f>
        <v>9500000</v>
      </c>
      <c r="N485" s="266"/>
      <c r="O485" s="263">
        <v>2</v>
      </c>
      <c r="P485" s="264" t="s">
        <v>386</v>
      </c>
      <c r="Q485" s="234">
        <f>Q486</f>
        <v>9500000</v>
      </c>
      <c r="R485" s="236">
        <f>Q485/M485*100%</f>
        <v>1</v>
      </c>
      <c r="S485" s="234">
        <f>S486</f>
        <v>0</v>
      </c>
      <c r="T485" s="234">
        <f>T486</f>
        <v>0</v>
      </c>
      <c r="U485" s="234">
        <f>U486</f>
        <v>23620000</v>
      </c>
      <c r="V485" s="234">
        <f>V486</f>
        <v>0</v>
      </c>
    </row>
    <row r="486" spans="1:22" ht="27.95" hidden="1" customHeight="1">
      <c r="A486" s="260">
        <v>2</v>
      </c>
      <c r="B486" s="260">
        <v>2</v>
      </c>
      <c r="C486" s="269" t="s">
        <v>995</v>
      </c>
      <c r="D486" s="244">
        <v>5</v>
      </c>
      <c r="E486" s="244">
        <v>2</v>
      </c>
      <c r="F486" s="244"/>
      <c r="G486" s="244"/>
      <c r="H486" s="294" t="s">
        <v>1353</v>
      </c>
      <c r="I486" s="230"/>
      <c r="J486" s="246"/>
      <c r="K486" s="247"/>
      <c r="L486" s="248"/>
      <c r="M486" s="249">
        <f>M487+M500+M504</f>
        <v>9500000</v>
      </c>
      <c r="N486" s="266"/>
      <c r="O486" s="261"/>
      <c r="P486" s="266"/>
      <c r="Q486" s="249">
        <f>Q487+Q500+Q504</f>
        <v>9500000</v>
      </c>
      <c r="R486" s="267" t="str">
        <f t="shared" si="83"/>
        <v/>
      </c>
      <c r="S486" s="249">
        <f>S487+S500+S504</f>
        <v>0</v>
      </c>
      <c r="T486" s="249">
        <f>T487+T500+T504</f>
        <v>0</v>
      </c>
      <c r="U486" s="249">
        <f>U487+U500+U504</f>
        <v>23620000</v>
      </c>
      <c r="V486" s="249">
        <f>V487+V500+V504</f>
        <v>0</v>
      </c>
    </row>
    <row r="487" spans="1:22" ht="27.95" hidden="1" customHeight="1">
      <c r="A487" s="260">
        <v>2</v>
      </c>
      <c r="B487" s="260">
        <v>2</v>
      </c>
      <c r="C487" s="269" t="s">
        <v>995</v>
      </c>
      <c r="D487" s="252">
        <v>5</v>
      </c>
      <c r="E487" s="252">
        <v>2</v>
      </c>
      <c r="F487" s="252">
        <v>1</v>
      </c>
      <c r="G487" s="252"/>
      <c r="H487" s="283" t="s">
        <v>1258</v>
      </c>
      <c r="I487" s="230"/>
      <c r="J487" s="254"/>
      <c r="K487" s="255"/>
      <c r="L487" s="256"/>
      <c r="M487" s="257">
        <f>SUM(M489:M499)</f>
        <v>4880000</v>
      </c>
      <c r="N487" s="266"/>
      <c r="O487" s="261"/>
      <c r="P487" s="266"/>
      <c r="Q487" s="257">
        <f>SUM(Q489:Q499)</f>
        <v>4880000</v>
      </c>
      <c r="R487" s="267" t="str">
        <f t="shared" si="83"/>
        <v/>
      </c>
      <c r="S487" s="257">
        <f>SUM(S489:S499)</f>
        <v>0</v>
      </c>
      <c r="T487" s="257">
        <f>SUM(T489:T499)</f>
        <v>0</v>
      </c>
      <c r="U487" s="257">
        <f>SUM(U489:U499)</f>
        <v>4880000</v>
      </c>
      <c r="V487" s="257">
        <f>SUM(V489:V499)</f>
        <v>0</v>
      </c>
    </row>
    <row r="488" spans="1:22" ht="27.95" hidden="1" customHeight="1">
      <c r="A488" s="260">
        <v>2</v>
      </c>
      <c r="B488" s="260">
        <v>2</v>
      </c>
      <c r="C488" s="269" t="s">
        <v>995</v>
      </c>
      <c r="D488" s="260">
        <v>5</v>
      </c>
      <c r="E488" s="260">
        <v>2</v>
      </c>
      <c r="F488" s="260">
        <v>1</v>
      </c>
      <c r="G488" s="269" t="s">
        <v>960</v>
      </c>
      <c r="H488" s="268" t="s">
        <v>1354</v>
      </c>
      <c r="I488" s="230"/>
      <c r="J488" s="262"/>
      <c r="K488" s="263"/>
      <c r="L488" s="264"/>
      <c r="M488" s="265"/>
      <c r="N488" s="266">
        <v>0</v>
      </c>
      <c r="O488" s="261"/>
      <c r="P488" s="266">
        <v>0</v>
      </c>
      <c r="Q488" s="266">
        <f t="shared" ref="Q488:Q499" si="87">+N488*P488</f>
        <v>0</v>
      </c>
      <c r="R488" s="267" t="str">
        <f t="shared" si="83"/>
        <v/>
      </c>
      <c r="S488" s="266">
        <f t="shared" ref="S488:S499" si="88">+IF(W488="DDS",Q488,0)</f>
        <v>0</v>
      </c>
      <c r="T488" s="266">
        <f t="shared" ref="T488:T499" si="89">+IF(W488="ADD",Q488,0)</f>
        <v>0</v>
      </c>
      <c r="U488" s="266">
        <f t="shared" ref="U488:U499" si="90">+IF(W488="DDS",0,IF(W488="ADD",0,Q488))</f>
        <v>0</v>
      </c>
      <c r="V488" s="266">
        <v>0</v>
      </c>
    </row>
    <row r="489" spans="1:22" ht="27.95" hidden="1" customHeight="1">
      <c r="A489" s="260"/>
      <c r="B489" s="260"/>
      <c r="C489" s="269"/>
      <c r="D489" s="260"/>
      <c r="E489" s="260"/>
      <c r="F489" s="260"/>
      <c r="G489" s="260"/>
      <c r="H489" s="268" t="s">
        <v>1355</v>
      </c>
      <c r="I489" s="230"/>
      <c r="J489" s="262">
        <v>1</v>
      </c>
      <c r="K489" s="263" t="s">
        <v>1029</v>
      </c>
      <c r="L489" s="264">
        <v>55000</v>
      </c>
      <c r="M489" s="265">
        <f>+J489*L489</f>
        <v>55000</v>
      </c>
      <c r="N489" s="262">
        <v>1</v>
      </c>
      <c r="O489" s="263" t="s">
        <v>1029</v>
      </c>
      <c r="P489" s="264">
        <v>55000</v>
      </c>
      <c r="Q489" s="266">
        <f t="shared" si="87"/>
        <v>55000</v>
      </c>
      <c r="R489" s="267">
        <f t="shared" si="83"/>
        <v>1</v>
      </c>
      <c r="S489" s="266">
        <f t="shared" si="88"/>
        <v>0</v>
      </c>
      <c r="T489" s="266">
        <f t="shared" si="89"/>
        <v>0</v>
      </c>
      <c r="U489" s="266">
        <f t="shared" si="90"/>
        <v>55000</v>
      </c>
      <c r="V489" s="266">
        <v>0</v>
      </c>
    </row>
    <row r="490" spans="1:22" ht="27.95" hidden="1" customHeight="1">
      <c r="A490" s="260"/>
      <c r="B490" s="260"/>
      <c r="C490" s="260"/>
      <c r="D490" s="260"/>
      <c r="E490" s="260"/>
      <c r="F490" s="260"/>
      <c r="G490" s="260"/>
      <c r="H490" s="268" t="s">
        <v>1356</v>
      </c>
      <c r="I490" s="230"/>
      <c r="J490" s="262">
        <v>1</v>
      </c>
      <c r="K490" s="263" t="s">
        <v>1029</v>
      </c>
      <c r="L490" s="264">
        <v>110000</v>
      </c>
      <c r="M490" s="265">
        <f>+J490*L490</f>
        <v>110000</v>
      </c>
      <c r="N490" s="262">
        <v>1</v>
      </c>
      <c r="O490" s="263" t="s">
        <v>1029</v>
      </c>
      <c r="P490" s="264">
        <v>110000</v>
      </c>
      <c r="Q490" s="266">
        <f t="shared" si="87"/>
        <v>110000</v>
      </c>
      <c r="R490" s="267">
        <f t="shared" si="83"/>
        <v>1</v>
      </c>
      <c r="S490" s="266">
        <f t="shared" si="88"/>
        <v>0</v>
      </c>
      <c r="T490" s="266">
        <f t="shared" si="89"/>
        <v>0</v>
      </c>
      <c r="U490" s="266">
        <f t="shared" si="90"/>
        <v>110000</v>
      </c>
      <c r="V490" s="266">
        <v>0</v>
      </c>
    </row>
    <row r="491" spans="1:22" ht="27.95" hidden="1" customHeight="1">
      <c r="A491" s="260">
        <v>2</v>
      </c>
      <c r="B491" s="260">
        <v>2</v>
      </c>
      <c r="C491" s="269" t="s">
        <v>995</v>
      </c>
      <c r="D491" s="260">
        <v>5</v>
      </c>
      <c r="E491" s="260">
        <v>2</v>
      </c>
      <c r="F491" s="260">
        <v>1</v>
      </c>
      <c r="G491" s="269" t="s">
        <v>1038</v>
      </c>
      <c r="H491" s="268" t="s">
        <v>1324</v>
      </c>
      <c r="I491" s="230"/>
      <c r="J491" s="262"/>
      <c r="K491" s="263"/>
      <c r="L491" s="264"/>
      <c r="M491" s="265"/>
      <c r="N491" s="266">
        <v>0</v>
      </c>
      <c r="O491" s="261"/>
      <c r="P491" s="266">
        <v>0</v>
      </c>
      <c r="Q491" s="266">
        <f t="shared" si="87"/>
        <v>0</v>
      </c>
      <c r="R491" s="267" t="str">
        <f t="shared" si="83"/>
        <v/>
      </c>
      <c r="S491" s="266">
        <f t="shared" si="88"/>
        <v>0</v>
      </c>
      <c r="T491" s="266">
        <f t="shared" si="89"/>
        <v>0</v>
      </c>
      <c r="U491" s="266">
        <f t="shared" si="90"/>
        <v>0</v>
      </c>
      <c r="V491" s="266">
        <v>0</v>
      </c>
    </row>
    <row r="492" spans="1:22" ht="27.95" hidden="1" customHeight="1">
      <c r="A492" s="260"/>
      <c r="B492" s="260"/>
      <c r="C492" s="269"/>
      <c r="D492" s="260"/>
      <c r="E492" s="260"/>
      <c r="F492" s="260"/>
      <c r="G492" s="260"/>
      <c r="H492" s="268" t="s">
        <v>1357</v>
      </c>
      <c r="I492" s="230"/>
      <c r="J492" s="262">
        <v>1</v>
      </c>
      <c r="K492" s="263" t="s">
        <v>1029</v>
      </c>
      <c r="L492" s="264">
        <v>50000</v>
      </c>
      <c r="M492" s="265">
        <f>+J492*L492</f>
        <v>50000</v>
      </c>
      <c r="N492" s="262">
        <v>1</v>
      </c>
      <c r="O492" s="263" t="s">
        <v>1029</v>
      </c>
      <c r="P492" s="264">
        <v>50000</v>
      </c>
      <c r="Q492" s="266">
        <f t="shared" si="87"/>
        <v>50000</v>
      </c>
      <c r="R492" s="267">
        <f t="shared" si="83"/>
        <v>1</v>
      </c>
      <c r="S492" s="266">
        <f t="shared" si="88"/>
        <v>0</v>
      </c>
      <c r="T492" s="266">
        <f t="shared" si="89"/>
        <v>0</v>
      </c>
      <c r="U492" s="266">
        <f t="shared" si="90"/>
        <v>50000</v>
      </c>
      <c r="V492" s="266">
        <v>0</v>
      </c>
    </row>
    <row r="493" spans="1:22" ht="27.95" hidden="1" customHeight="1">
      <c r="A493" s="260"/>
      <c r="B493" s="260"/>
      <c r="C493" s="260"/>
      <c r="D493" s="260"/>
      <c r="E493" s="260"/>
      <c r="F493" s="260"/>
      <c r="G493" s="260"/>
      <c r="H493" s="268" t="s">
        <v>1358</v>
      </c>
      <c r="I493" s="230"/>
      <c r="J493" s="262">
        <v>1</v>
      </c>
      <c r="K493" s="263" t="s">
        <v>1029</v>
      </c>
      <c r="L493" s="264">
        <v>175000</v>
      </c>
      <c r="M493" s="265">
        <f>+J493*L493</f>
        <v>175000</v>
      </c>
      <c r="N493" s="262">
        <v>1</v>
      </c>
      <c r="O493" s="263" t="s">
        <v>1029</v>
      </c>
      <c r="P493" s="264">
        <v>175000</v>
      </c>
      <c r="Q493" s="266">
        <f t="shared" si="87"/>
        <v>175000</v>
      </c>
      <c r="R493" s="267">
        <f t="shared" si="83"/>
        <v>1</v>
      </c>
      <c r="S493" s="266">
        <f t="shared" si="88"/>
        <v>0</v>
      </c>
      <c r="T493" s="266">
        <f t="shared" si="89"/>
        <v>0</v>
      </c>
      <c r="U493" s="266">
        <f t="shared" si="90"/>
        <v>175000</v>
      </c>
      <c r="V493" s="266">
        <v>0</v>
      </c>
    </row>
    <row r="494" spans="1:22" ht="27.95" hidden="1" customHeight="1">
      <c r="A494" s="260">
        <v>2</v>
      </c>
      <c r="B494" s="260">
        <v>2</v>
      </c>
      <c r="C494" s="269" t="s">
        <v>995</v>
      </c>
      <c r="D494" s="260">
        <v>5</v>
      </c>
      <c r="E494" s="260">
        <v>2</v>
      </c>
      <c r="F494" s="260">
        <v>1</v>
      </c>
      <c r="G494" s="269" t="s">
        <v>1038</v>
      </c>
      <c r="H494" s="268" t="s">
        <v>1329</v>
      </c>
      <c r="I494" s="230"/>
      <c r="J494" s="262"/>
      <c r="K494" s="263"/>
      <c r="L494" s="264"/>
      <c r="M494" s="265"/>
      <c r="N494" s="266">
        <v>0</v>
      </c>
      <c r="O494" s="261"/>
      <c r="P494" s="266">
        <v>0</v>
      </c>
      <c r="Q494" s="266">
        <f t="shared" si="87"/>
        <v>0</v>
      </c>
      <c r="R494" s="267" t="str">
        <f t="shared" si="83"/>
        <v/>
      </c>
      <c r="S494" s="266">
        <f t="shared" si="88"/>
        <v>0</v>
      </c>
      <c r="T494" s="266">
        <f t="shared" si="89"/>
        <v>0</v>
      </c>
      <c r="U494" s="266">
        <f t="shared" si="90"/>
        <v>0</v>
      </c>
      <c r="V494" s="266">
        <v>0</v>
      </c>
    </row>
    <row r="495" spans="1:22" ht="27.95" hidden="1" customHeight="1">
      <c r="A495" s="260"/>
      <c r="B495" s="260"/>
      <c r="C495" s="269"/>
      <c r="D495" s="260"/>
      <c r="E495" s="260"/>
      <c r="F495" s="260"/>
      <c r="G495" s="260"/>
      <c r="H495" s="268" t="s">
        <v>1359</v>
      </c>
      <c r="I495" s="230"/>
      <c r="J495" s="262">
        <v>60</v>
      </c>
      <c r="K495" s="263" t="s">
        <v>1093</v>
      </c>
      <c r="L495" s="264">
        <v>35000</v>
      </c>
      <c r="M495" s="265">
        <f>+J495*L495</f>
        <v>2100000</v>
      </c>
      <c r="N495" s="262">
        <v>60</v>
      </c>
      <c r="O495" s="263" t="s">
        <v>1093</v>
      </c>
      <c r="P495" s="264">
        <v>35000</v>
      </c>
      <c r="Q495" s="266">
        <f t="shared" si="87"/>
        <v>2100000</v>
      </c>
      <c r="R495" s="267">
        <f t="shared" si="83"/>
        <v>1</v>
      </c>
      <c r="S495" s="266">
        <f t="shared" si="88"/>
        <v>0</v>
      </c>
      <c r="T495" s="266">
        <f t="shared" si="89"/>
        <v>0</v>
      </c>
      <c r="U495" s="266">
        <f t="shared" si="90"/>
        <v>2100000</v>
      </c>
      <c r="V495" s="266">
        <v>0</v>
      </c>
    </row>
    <row r="496" spans="1:22" ht="27.95" hidden="1" customHeight="1">
      <c r="A496" s="229"/>
      <c r="B496" s="229"/>
      <c r="C496" s="229"/>
      <c r="D496" s="260"/>
      <c r="E496" s="260"/>
      <c r="F496" s="260"/>
      <c r="G496" s="260"/>
      <c r="H496" s="268" t="s">
        <v>1360</v>
      </c>
      <c r="I496" s="230"/>
      <c r="J496" s="262">
        <v>64</v>
      </c>
      <c r="K496" s="263" t="s">
        <v>1093</v>
      </c>
      <c r="L496" s="264">
        <v>35000</v>
      </c>
      <c r="M496" s="265">
        <f>+J496*L496</f>
        <v>2240000</v>
      </c>
      <c r="N496" s="262">
        <v>64</v>
      </c>
      <c r="O496" s="263" t="s">
        <v>1093</v>
      </c>
      <c r="P496" s="264">
        <v>35000</v>
      </c>
      <c r="Q496" s="266">
        <f t="shared" si="87"/>
        <v>2240000</v>
      </c>
      <c r="R496" s="267">
        <f t="shared" si="83"/>
        <v>1</v>
      </c>
      <c r="S496" s="266">
        <f t="shared" si="88"/>
        <v>0</v>
      </c>
      <c r="T496" s="266">
        <f t="shared" si="89"/>
        <v>0</v>
      </c>
      <c r="U496" s="266">
        <f t="shared" si="90"/>
        <v>2240000</v>
      </c>
      <c r="V496" s="266">
        <v>0</v>
      </c>
    </row>
    <row r="497" spans="1:22" ht="27.95" hidden="1" customHeight="1">
      <c r="A497" s="260">
        <v>2</v>
      </c>
      <c r="B497" s="260">
        <v>2</v>
      </c>
      <c r="C497" s="269" t="s">
        <v>995</v>
      </c>
      <c r="D497" s="260">
        <v>5</v>
      </c>
      <c r="E497" s="260">
        <v>2</v>
      </c>
      <c r="F497" s="260">
        <v>1</v>
      </c>
      <c r="G497" s="260">
        <v>99</v>
      </c>
      <c r="H497" s="268" t="s">
        <v>1052</v>
      </c>
      <c r="I497" s="238"/>
      <c r="J497" s="262"/>
      <c r="K497" s="263"/>
      <c r="L497" s="264"/>
      <c r="M497" s="265"/>
      <c r="N497" s="266">
        <v>0</v>
      </c>
      <c r="O497" s="261"/>
      <c r="P497" s="266">
        <v>0</v>
      </c>
      <c r="Q497" s="266">
        <f t="shared" si="87"/>
        <v>0</v>
      </c>
      <c r="R497" s="267" t="str">
        <f t="shared" si="83"/>
        <v/>
      </c>
      <c r="S497" s="266">
        <f t="shared" si="88"/>
        <v>0</v>
      </c>
      <c r="T497" s="266">
        <f t="shared" si="89"/>
        <v>0</v>
      </c>
      <c r="U497" s="266">
        <f t="shared" si="90"/>
        <v>0</v>
      </c>
      <c r="V497" s="266">
        <v>0</v>
      </c>
    </row>
    <row r="498" spans="1:22" ht="27.95" hidden="1" customHeight="1">
      <c r="A498" s="229"/>
      <c r="B498" s="229"/>
      <c r="C498" s="270"/>
      <c r="D498" s="260"/>
      <c r="E498" s="260"/>
      <c r="F498" s="260"/>
      <c r="G498" s="260"/>
      <c r="H498" s="268" t="s">
        <v>1361</v>
      </c>
      <c r="I498" s="238"/>
      <c r="J498" s="262">
        <v>3</v>
      </c>
      <c r="K498" s="263" t="s">
        <v>1191</v>
      </c>
      <c r="L498" s="264">
        <v>25000</v>
      </c>
      <c r="M498" s="265">
        <f>+J498*L498</f>
        <v>75000</v>
      </c>
      <c r="N498" s="262">
        <v>3</v>
      </c>
      <c r="O498" s="263" t="s">
        <v>1191</v>
      </c>
      <c r="P498" s="264">
        <v>25000</v>
      </c>
      <c r="Q498" s="266">
        <f t="shared" si="87"/>
        <v>75000</v>
      </c>
      <c r="R498" s="267">
        <f t="shared" si="83"/>
        <v>1</v>
      </c>
      <c r="S498" s="266">
        <f t="shared" si="88"/>
        <v>0</v>
      </c>
      <c r="T498" s="266">
        <f t="shared" si="89"/>
        <v>0</v>
      </c>
      <c r="U498" s="266">
        <f t="shared" si="90"/>
        <v>75000</v>
      </c>
      <c r="V498" s="266">
        <v>0</v>
      </c>
    </row>
    <row r="499" spans="1:22" ht="27.95" hidden="1" customHeight="1">
      <c r="A499" s="260"/>
      <c r="B499" s="260"/>
      <c r="C499" s="269"/>
      <c r="D499" s="260"/>
      <c r="E499" s="260"/>
      <c r="F499" s="260"/>
      <c r="G499" s="260"/>
      <c r="H499" s="268" t="s">
        <v>1362</v>
      </c>
      <c r="I499" s="238"/>
      <c r="J499" s="262">
        <v>3</v>
      </c>
      <c r="K499" s="263" t="s">
        <v>1191</v>
      </c>
      <c r="L499" s="264">
        <v>25000</v>
      </c>
      <c r="M499" s="265">
        <f>+J499*L499</f>
        <v>75000</v>
      </c>
      <c r="N499" s="262">
        <v>3</v>
      </c>
      <c r="O499" s="263" t="s">
        <v>1191</v>
      </c>
      <c r="P499" s="264">
        <v>25000</v>
      </c>
      <c r="Q499" s="266">
        <f t="shared" si="87"/>
        <v>75000</v>
      </c>
      <c r="R499" s="267">
        <f t="shared" si="83"/>
        <v>1</v>
      </c>
      <c r="S499" s="266">
        <f t="shared" si="88"/>
        <v>0</v>
      </c>
      <c r="T499" s="266">
        <f t="shared" si="89"/>
        <v>0</v>
      </c>
      <c r="U499" s="266">
        <f t="shared" si="90"/>
        <v>75000</v>
      </c>
      <c r="V499" s="266">
        <v>0</v>
      </c>
    </row>
    <row r="500" spans="1:22" ht="27.95" hidden="1" customHeight="1">
      <c r="A500" s="260">
        <v>2</v>
      </c>
      <c r="B500" s="260">
        <v>2</v>
      </c>
      <c r="C500" s="269" t="s">
        <v>995</v>
      </c>
      <c r="D500" s="252">
        <v>5</v>
      </c>
      <c r="E500" s="252">
        <v>2</v>
      </c>
      <c r="F500" s="252">
        <v>2</v>
      </c>
      <c r="G500" s="252"/>
      <c r="H500" s="283" t="s">
        <v>1278</v>
      </c>
      <c r="I500" s="238"/>
      <c r="J500" s="254"/>
      <c r="K500" s="255"/>
      <c r="L500" s="256"/>
      <c r="M500" s="257">
        <f>SUM(M501:M503)</f>
        <v>1200000</v>
      </c>
      <c r="N500" s="266"/>
      <c r="O500" s="261"/>
      <c r="P500" s="266"/>
      <c r="Q500" s="257">
        <f>SUM(Q501:Q503)</f>
        <v>1200000</v>
      </c>
      <c r="R500" s="267" t="str">
        <f t="shared" si="83"/>
        <v/>
      </c>
      <c r="S500" s="257">
        <f>SUM(S501:S503)</f>
        <v>0</v>
      </c>
      <c r="T500" s="257">
        <f>SUM(T501:T503)</f>
        <v>0</v>
      </c>
      <c r="U500" s="257">
        <f>SUM(U501:U503)</f>
        <v>1200000</v>
      </c>
      <c r="V500" s="257">
        <f>SUM(V501:V503)</f>
        <v>0</v>
      </c>
    </row>
    <row r="501" spans="1:22" ht="27.95" hidden="1" customHeight="1">
      <c r="A501" s="260">
        <v>2</v>
      </c>
      <c r="B501" s="260">
        <v>2</v>
      </c>
      <c r="C501" s="269" t="s">
        <v>995</v>
      </c>
      <c r="D501" s="260">
        <v>5</v>
      </c>
      <c r="E501" s="260">
        <v>2</v>
      </c>
      <c r="F501" s="260">
        <v>2</v>
      </c>
      <c r="G501" s="269" t="s">
        <v>1002</v>
      </c>
      <c r="H501" s="268" t="s">
        <v>1363</v>
      </c>
      <c r="I501" s="238"/>
      <c r="J501" s="262"/>
      <c r="K501" s="263"/>
      <c r="L501" s="264"/>
      <c r="M501" s="265"/>
      <c r="N501" s="266">
        <v>0</v>
      </c>
      <c r="O501" s="261"/>
      <c r="P501" s="266">
        <v>0</v>
      </c>
      <c r="Q501" s="266">
        <f>+N501*P501</f>
        <v>0</v>
      </c>
      <c r="R501" s="267" t="str">
        <f t="shared" si="83"/>
        <v/>
      </c>
      <c r="S501" s="266">
        <f>+IF(W501="DDS",Q501,0)</f>
        <v>0</v>
      </c>
      <c r="T501" s="266">
        <f>+IF(W501="ADD",Q501,0)</f>
        <v>0</v>
      </c>
      <c r="U501" s="266">
        <f>+IF(W501="DDS",0,IF(W501="ADD",0,Q501))</f>
        <v>0</v>
      </c>
      <c r="V501" s="266">
        <v>0</v>
      </c>
    </row>
    <row r="502" spans="1:22" ht="27.95" hidden="1" customHeight="1">
      <c r="A502" s="229"/>
      <c r="B502" s="229"/>
      <c r="C502" s="270"/>
      <c r="D502" s="260"/>
      <c r="E502" s="260"/>
      <c r="F502" s="260"/>
      <c r="G502" s="269"/>
      <c r="H502" s="268" t="s">
        <v>1364</v>
      </c>
      <c r="I502" s="238"/>
      <c r="J502" s="262">
        <v>6</v>
      </c>
      <c r="K502" s="263" t="s">
        <v>1199</v>
      </c>
      <c r="L502" s="264">
        <v>100000</v>
      </c>
      <c r="M502" s="265">
        <f>+J502*L502</f>
        <v>600000</v>
      </c>
      <c r="N502" s="262">
        <v>6</v>
      </c>
      <c r="O502" s="263" t="s">
        <v>1199</v>
      </c>
      <c r="P502" s="264">
        <v>100000</v>
      </c>
      <c r="Q502" s="266">
        <f>+N502*P502</f>
        <v>600000</v>
      </c>
      <c r="R502" s="267">
        <f t="shared" si="83"/>
        <v>1</v>
      </c>
      <c r="S502" s="266">
        <f>+IF(W502="DDS",Q502,0)</f>
        <v>0</v>
      </c>
      <c r="T502" s="266">
        <f>+IF(W502="ADD",Q502,0)</f>
        <v>0</v>
      </c>
      <c r="U502" s="266">
        <f>+IF(W502="DDS",0,IF(W502="ADD",0,Q502))</f>
        <v>600000</v>
      </c>
      <c r="V502" s="266">
        <v>0</v>
      </c>
    </row>
    <row r="503" spans="1:22" ht="27.95" hidden="1" customHeight="1">
      <c r="A503" s="260"/>
      <c r="B503" s="260"/>
      <c r="C503" s="269"/>
      <c r="D503" s="260"/>
      <c r="E503" s="260"/>
      <c r="F503" s="260"/>
      <c r="G503" s="269"/>
      <c r="H503" s="268" t="s">
        <v>1365</v>
      </c>
      <c r="I503" s="238"/>
      <c r="J503" s="262">
        <v>6</v>
      </c>
      <c r="K503" s="263" t="s">
        <v>1199</v>
      </c>
      <c r="L503" s="264">
        <v>100000</v>
      </c>
      <c r="M503" s="265">
        <f>+J503*L503</f>
        <v>600000</v>
      </c>
      <c r="N503" s="262">
        <v>6</v>
      </c>
      <c r="O503" s="263" t="s">
        <v>1199</v>
      </c>
      <c r="P503" s="264">
        <v>100000</v>
      </c>
      <c r="Q503" s="266">
        <f>+N503*P503</f>
        <v>600000</v>
      </c>
      <c r="R503" s="267">
        <f t="shared" si="83"/>
        <v>1</v>
      </c>
      <c r="S503" s="266">
        <f>+IF(W503="DDS",Q503,0)</f>
        <v>0</v>
      </c>
      <c r="T503" s="266">
        <f>+IF(W503="ADD",Q503,0)</f>
        <v>0</v>
      </c>
      <c r="U503" s="266">
        <f>+IF(W503="DDS",0,IF(W503="ADD",0,Q503))</f>
        <v>600000</v>
      </c>
      <c r="V503" s="266">
        <v>0</v>
      </c>
    </row>
    <row r="504" spans="1:22" ht="27.95" hidden="1" customHeight="1">
      <c r="A504" s="229">
        <v>2</v>
      </c>
      <c r="B504" s="229">
        <v>2</v>
      </c>
      <c r="C504" s="270" t="s">
        <v>1002</v>
      </c>
      <c r="D504" s="252">
        <v>5</v>
      </c>
      <c r="E504" s="252">
        <v>2</v>
      </c>
      <c r="F504" s="252">
        <v>3</v>
      </c>
      <c r="G504" s="277"/>
      <c r="H504" s="288" t="s">
        <v>136</v>
      </c>
      <c r="I504" s="238"/>
      <c r="J504" s="254"/>
      <c r="K504" s="255"/>
      <c r="L504" s="256"/>
      <c r="M504" s="257">
        <f>SUM(M505:M507)</f>
        <v>3420000</v>
      </c>
      <c r="N504" s="257"/>
      <c r="O504" s="257"/>
      <c r="P504" s="257"/>
      <c r="Q504" s="257">
        <f>SUM(Q505:Q507)</f>
        <v>3420000</v>
      </c>
      <c r="R504" s="267" t="str">
        <f t="shared" si="83"/>
        <v/>
      </c>
      <c r="S504" s="257">
        <f>SUM(S505:S507)</f>
        <v>0</v>
      </c>
      <c r="T504" s="257">
        <f>SUM(T505:T507)</f>
        <v>0</v>
      </c>
      <c r="U504" s="257">
        <f>SUM(U505:U507)</f>
        <v>17540000</v>
      </c>
      <c r="V504" s="257">
        <f>SUM(V505:V507)</f>
        <v>0</v>
      </c>
    </row>
    <row r="505" spans="1:22" ht="27.95" hidden="1" customHeight="1">
      <c r="A505" s="260">
        <v>2</v>
      </c>
      <c r="B505" s="260">
        <v>2</v>
      </c>
      <c r="C505" s="269" t="s">
        <v>1002</v>
      </c>
      <c r="D505" s="252">
        <v>5</v>
      </c>
      <c r="E505" s="252">
        <v>2</v>
      </c>
      <c r="F505" s="252">
        <v>3</v>
      </c>
      <c r="G505" s="277" t="s">
        <v>995</v>
      </c>
      <c r="H505" s="288" t="s">
        <v>523</v>
      </c>
      <c r="I505" s="238"/>
      <c r="J505" s="254"/>
      <c r="K505" s="255"/>
      <c r="L505" s="256"/>
      <c r="M505" s="257"/>
      <c r="N505" s="266"/>
      <c r="O505" s="261"/>
      <c r="P505" s="266"/>
      <c r="Q505" s="257"/>
      <c r="R505" s="267" t="str">
        <f t="shared" si="83"/>
        <v/>
      </c>
      <c r="S505" s="249">
        <v>0</v>
      </c>
      <c r="T505" s="249">
        <f>+T506+T515+T520</f>
        <v>0</v>
      </c>
      <c r="U505" s="249">
        <f>+U506+U515+U520</f>
        <v>14120000</v>
      </c>
      <c r="V505" s="249">
        <f>+V506+V515+V520</f>
        <v>0</v>
      </c>
    </row>
    <row r="506" spans="1:22" ht="27.95" hidden="1" customHeight="1">
      <c r="A506" s="229"/>
      <c r="B506" s="229"/>
      <c r="C506" s="270"/>
      <c r="D506" s="260"/>
      <c r="E506" s="260"/>
      <c r="F506" s="260"/>
      <c r="G506" s="269"/>
      <c r="H506" s="290" t="s">
        <v>1366</v>
      </c>
      <c r="I506" s="238"/>
      <c r="J506" s="262">
        <v>54</v>
      </c>
      <c r="K506" s="263" t="s">
        <v>1042</v>
      </c>
      <c r="L506" s="264">
        <v>30000</v>
      </c>
      <c r="M506" s="265">
        <f>+J506*L506</f>
        <v>1620000</v>
      </c>
      <c r="N506" s="262">
        <v>54</v>
      </c>
      <c r="O506" s="263" t="s">
        <v>1042</v>
      </c>
      <c r="P506" s="264">
        <v>30000</v>
      </c>
      <c r="Q506" s="265">
        <f>+N506*P506</f>
        <v>1620000</v>
      </c>
      <c r="R506" s="267">
        <f t="shared" si="83"/>
        <v>1</v>
      </c>
      <c r="S506" s="266">
        <f>+IF(W506="DDS",Q506,0)</f>
        <v>0</v>
      </c>
      <c r="T506" s="266">
        <f>+IF(W506="ADD",Q506,0)</f>
        <v>0</v>
      </c>
      <c r="U506" s="266">
        <f>+IF(W506="DDS",0,IF(W506="ADD",0,Q506))</f>
        <v>1620000</v>
      </c>
      <c r="V506" s="266">
        <v>0</v>
      </c>
    </row>
    <row r="507" spans="1:22" ht="27.95" hidden="1" customHeight="1">
      <c r="A507" s="260"/>
      <c r="B507" s="260"/>
      <c r="C507" s="269"/>
      <c r="D507" s="260"/>
      <c r="E507" s="260"/>
      <c r="F507" s="260"/>
      <c r="G507" s="269"/>
      <c r="H507" s="290" t="s">
        <v>1367</v>
      </c>
      <c r="I507" s="238"/>
      <c r="J507" s="262">
        <v>60</v>
      </c>
      <c r="K507" s="263" t="s">
        <v>1042</v>
      </c>
      <c r="L507" s="264">
        <v>30000</v>
      </c>
      <c r="M507" s="265">
        <f>+J507*L507</f>
        <v>1800000</v>
      </c>
      <c r="N507" s="262">
        <v>60</v>
      </c>
      <c r="O507" s="263" t="s">
        <v>1042</v>
      </c>
      <c r="P507" s="264">
        <v>30000</v>
      </c>
      <c r="Q507" s="265">
        <f>+N507*P507</f>
        <v>1800000</v>
      </c>
      <c r="R507" s="267">
        <f t="shared" si="83"/>
        <v>1</v>
      </c>
      <c r="S507" s="266">
        <f>+IF(W507="DDS",Q507,0)</f>
        <v>0</v>
      </c>
      <c r="T507" s="266">
        <f>+IF(W507="ADD",Q507,0)</f>
        <v>0</v>
      </c>
      <c r="U507" s="266">
        <f>+IF(W507="DDS",0,IF(W507="ADD",0,Q507))</f>
        <v>1800000</v>
      </c>
      <c r="V507" s="266">
        <v>0</v>
      </c>
    </row>
    <row r="508" spans="1:22" ht="27.95" customHeight="1">
      <c r="A508" s="260">
        <v>2</v>
      </c>
      <c r="B508" s="260">
        <v>2</v>
      </c>
      <c r="C508" s="269" t="s">
        <v>1002</v>
      </c>
      <c r="D508" s="229" t="s">
        <v>970</v>
      </c>
      <c r="E508" s="229" t="s">
        <v>963</v>
      </c>
      <c r="F508" s="229" t="s">
        <v>1002</v>
      </c>
      <c r="G508" s="229" t="s">
        <v>959</v>
      </c>
      <c r="H508" s="238" t="s">
        <v>219</v>
      </c>
      <c r="I508" s="238" t="s">
        <v>1368</v>
      </c>
      <c r="J508" s="239"/>
      <c r="K508" s="240">
        <v>12</v>
      </c>
      <c r="L508" s="241" t="s">
        <v>1073</v>
      </c>
      <c r="M508" s="234">
        <f>+M509</f>
        <v>13400000</v>
      </c>
      <c r="N508" s="266"/>
      <c r="O508" s="240">
        <v>12</v>
      </c>
      <c r="P508" s="241" t="s">
        <v>1073</v>
      </c>
      <c r="Q508" s="234">
        <f>+Q509</f>
        <v>11620000</v>
      </c>
      <c r="R508" s="236">
        <f>Q508/M508*100%</f>
        <v>0.86716417910447763</v>
      </c>
      <c r="S508" s="234">
        <f>+S509</f>
        <v>0</v>
      </c>
      <c r="T508" s="234">
        <f>+T509</f>
        <v>0</v>
      </c>
      <c r="U508" s="234">
        <f>+U509</f>
        <v>11620000</v>
      </c>
      <c r="V508" s="234">
        <f>+V509</f>
        <v>0</v>
      </c>
    </row>
    <row r="509" spans="1:22" ht="27.95" hidden="1" customHeight="1">
      <c r="A509" s="260">
        <v>2</v>
      </c>
      <c r="B509" s="260">
        <v>2</v>
      </c>
      <c r="C509" s="269" t="s">
        <v>1002</v>
      </c>
      <c r="D509" s="244" t="s">
        <v>363</v>
      </c>
      <c r="E509" s="244" t="s">
        <v>970</v>
      </c>
      <c r="F509" s="244" t="s">
        <v>959</v>
      </c>
      <c r="G509" s="244" t="s">
        <v>959</v>
      </c>
      <c r="H509" s="245" t="s">
        <v>1026</v>
      </c>
      <c r="I509" s="238"/>
      <c r="J509" s="246"/>
      <c r="K509" s="247"/>
      <c r="L509" s="248"/>
      <c r="M509" s="249">
        <f>+M510+M515</f>
        <v>13400000</v>
      </c>
      <c r="N509" s="266"/>
      <c r="O509" s="261"/>
      <c r="P509" s="266"/>
      <c r="Q509" s="249">
        <f>+Q510+Q515</f>
        <v>11620000</v>
      </c>
      <c r="R509" s="267" t="str">
        <f t="shared" si="83"/>
        <v/>
      </c>
      <c r="S509" s="249">
        <f>+S510+S515</f>
        <v>0</v>
      </c>
      <c r="T509" s="249">
        <f>+T510+T515</f>
        <v>0</v>
      </c>
      <c r="U509" s="249">
        <f>+U510+U515</f>
        <v>11620000</v>
      </c>
      <c r="V509" s="249">
        <f>+V510+V515</f>
        <v>0</v>
      </c>
    </row>
    <row r="510" spans="1:22" ht="27.95" hidden="1" customHeight="1">
      <c r="A510" s="260">
        <v>2</v>
      </c>
      <c r="B510" s="260">
        <v>2</v>
      </c>
      <c r="C510" s="269" t="s">
        <v>1002</v>
      </c>
      <c r="D510" s="252" t="s">
        <v>363</v>
      </c>
      <c r="E510" s="252" t="s">
        <v>970</v>
      </c>
      <c r="F510" s="252" t="s">
        <v>362</v>
      </c>
      <c r="G510" s="252" t="s">
        <v>959</v>
      </c>
      <c r="H510" s="253" t="s">
        <v>134</v>
      </c>
      <c r="I510" s="238"/>
      <c r="J510" s="254"/>
      <c r="K510" s="255"/>
      <c r="L510" s="256"/>
      <c r="M510" s="257">
        <f>+SUM(M511:M514)</f>
        <v>2600000</v>
      </c>
      <c r="N510" s="266"/>
      <c r="O510" s="261"/>
      <c r="P510" s="266"/>
      <c r="Q510" s="257">
        <f>+SUM(Q511:Q514)</f>
        <v>820000</v>
      </c>
      <c r="R510" s="267" t="str">
        <f t="shared" si="83"/>
        <v/>
      </c>
      <c r="S510" s="257">
        <f>+SUM(S511:S514)</f>
        <v>0</v>
      </c>
      <c r="T510" s="257">
        <f>+SUM(T511:T514)</f>
        <v>0</v>
      </c>
      <c r="U510" s="257">
        <f>+SUM(U511:U514)</f>
        <v>820000</v>
      </c>
      <c r="V510" s="257">
        <f>+SUM(V511:V514)</f>
        <v>0</v>
      </c>
    </row>
    <row r="511" spans="1:22" ht="27.95" hidden="1" customHeight="1">
      <c r="A511" s="260">
        <v>2</v>
      </c>
      <c r="B511" s="260">
        <v>2</v>
      </c>
      <c r="C511" s="269" t="s">
        <v>1002</v>
      </c>
      <c r="D511" s="260" t="s">
        <v>363</v>
      </c>
      <c r="E511" s="260" t="s">
        <v>970</v>
      </c>
      <c r="F511" s="260" t="s">
        <v>362</v>
      </c>
      <c r="G511" s="260" t="s">
        <v>1038</v>
      </c>
      <c r="H511" s="261" t="s">
        <v>1090</v>
      </c>
      <c r="I511" s="238"/>
      <c r="J511" s="262"/>
      <c r="K511" s="263"/>
      <c r="L511" s="264"/>
      <c r="M511" s="265"/>
      <c r="N511" s="266"/>
      <c r="O511" s="261"/>
      <c r="P511" s="266"/>
      <c r="Q511" s="266"/>
      <c r="R511" s="267"/>
      <c r="S511" s="266"/>
      <c r="T511" s="266"/>
      <c r="U511" s="266"/>
      <c r="V511" s="266"/>
    </row>
    <row r="512" spans="1:22" ht="27.95" hidden="1" customHeight="1">
      <c r="A512" s="260"/>
      <c r="B512" s="260"/>
      <c r="C512" s="269"/>
      <c r="D512" s="260"/>
      <c r="E512" s="260"/>
      <c r="F512" s="260"/>
      <c r="G512" s="260"/>
      <c r="H512" s="268" t="s">
        <v>1369</v>
      </c>
      <c r="I512" s="238"/>
      <c r="J512" s="262">
        <v>1</v>
      </c>
      <c r="K512" s="263" t="s">
        <v>1029</v>
      </c>
      <c r="L512" s="264">
        <v>200000</v>
      </c>
      <c r="M512" s="265">
        <f>+J512*L512</f>
        <v>200000</v>
      </c>
      <c r="N512" s="262">
        <v>1</v>
      </c>
      <c r="O512" s="263" t="s">
        <v>1029</v>
      </c>
      <c r="P512" s="264">
        <v>100000</v>
      </c>
      <c r="Q512" s="265">
        <f>+N512*P512</f>
        <v>100000</v>
      </c>
      <c r="R512" s="267">
        <f t="shared" si="83"/>
        <v>0.5</v>
      </c>
      <c r="S512" s="266">
        <f>+IF(W512="DDS",Q512,0)</f>
        <v>0</v>
      </c>
      <c r="T512" s="266">
        <f>+IF(W512="ADD",Q512,0)</f>
        <v>0</v>
      </c>
      <c r="U512" s="266">
        <f>+IF(W512="DDS",0,IF(W512="ADD",0,Q512))</f>
        <v>100000</v>
      </c>
      <c r="V512" s="266">
        <v>0</v>
      </c>
    </row>
    <row r="513" spans="1:22" ht="27.95" hidden="1" customHeight="1">
      <c r="A513" s="260">
        <v>2</v>
      </c>
      <c r="B513" s="260">
        <v>2</v>
      </c>
      <c r="C513" s="269" t="s">
        <v>1002</v>
      </c>
      <c r="D513" s="260" t="s">
        <v>363</v>
      </c>
      <c r="E513" s="260" t="s">
        <v>970</v>
      </c>
      <c r="F513" s="260" t="s">
        <v>362</v>
      </c>
      <c r="G513" s="260" t="s">
        <v>1040</v>
      </c>
      <c r="H513" s="261" t="s">
        <v>527</v>
      </c>
      <c r="I513" s="238"/>
      <c r="J513" s="262"/>
      <c r="K513" s="263"/>
      <c r="L513" s="264"/>
      <c r="M513" s="265"/>
      <c r="N513" s="266"/>
      <c r="O513" s="261"/>
      <c r="P513" s="266"/>
      <c r="Q513" s="266"/>
      <c r="R513" s="267"/>
      <c r="S513" s="266"/>
      <c r="T513" s="266"/>
      <c r="U513" s="266"/>
      <c r="V513" s="266"/>
    </row>
    <row r="514" spans="1:22" ht="27.95" hidden="1" customHeight="1">
      <c r="A514" s="260"/>
      <c r="B514" s="260"/>
      <c r="C514" s="260"/>
      <c r="D514" s="260"/>
      <c r="E514" s="260"/>
      <c r="F514" s="260"/>
      <c r="G514" s="260"/>
      <c r="H514" s="268" t="s">
        <v>1370</v>
      </c>
      <c r="I514" s="238"/>
      <c r="J514" s="262">
        <v>240</v>
      </c>
      <c r="K514" s="263" t="s">
        <v>1042</v>
      </c>
      <c r="L514" s="264">
        <v>10000</v>
      </c>
      <c r="M514" s="265">
        <f>+J514*L514</f>
        <v>2400000</v>
      </c>
      <c r="N514" s="266">
        <f>32+40</f>
        <v>72</v>
      </c>
      <c r="O514" s="261" t="s">
        <v>1042</v>
      </c>
      <c r="P514" s="266">
        <v>10000</v>
      </c>
      <c r="Q514" s="266">
        <f>+N514*P514</f>
        <v>720000</v>
      </c>
      <c r="R514" s="267">
        <f t="shared" si="83"/>
        <v>0.3</v>
      </c>
      <c r="S514" s="266">
        <f>+IF(W514="DDS",Q514,0)</f>
        <v>0</v>
      </c>
      <c r="T514" s="266">
        <f>+IF(W514="ADD",Q514,0)</f>
        <v>0</v>
      </c>
      <c r="U514" s="266">
        <f>+IF(W514="DDS",0,IF(W514="ADD",0,Q514))</f>
        <v>720000</v>
      </c>
      <c r="V514" s="266">
        <v>0</v>
      </c>
    </row>
    <row r="515" spans="1:22" ht="27.95" hidden="1" customHeight="1">
      <c r="A515" s="229">
        <v>2</v>
      </c>
      <c r="B515" s="229">
        <v>2</v>
      </c>
      <c r="C515" s="270" t="s">
        <v>1002</v>
      </c>
      <c r="D515" s="252">
        <v>5</v>
      </c>
      <c r="E515" s="252">
        <v>2</v>
      </c>
      <c r="F515" s="252">
        <v>3</v>
      </c>
      <c r="G515" s="277"/>
      <c r="H515" s="288" t="s">
        <v>136</v>
      </c>
      <c r="I515" s="238"/>
      <c r="J515" s="254"/>
      <c r="K515" s="255"/>
      <c r="L515" s="256"/>
      <c r="M515" s="257">
        <f>SUM(M516:M517)</f>
        <v>10800000</v>
      </c>
      <c r="N515" s="266"/>
      <c r="O515" s="261"/>
      <c r="P515" s="266"/>
      <c r="Q515" s="257">
        <f>SUM(Q516:Q517)</f>
        <v>10800000</v>
      </c>
      <c r="R515" s="267" t="str">
        <f t="shared" si="83"/>
        <v/>
      </c>
      <c r="S515" s="257">
        <f>SUM(S516:S517)</f>
        <v>0</v>
      </c>
      <c r="T515" s="257">
        <f>SUM(T516:T517)</f>
        <v>0</v>
      </c>
      <c r="U515" s="257">
        <f>SUM(U516:U517)</f>
        <v>10800000</v>
      </c>
      <c r="V515" s="257">
        <f>SUM(V516:V517)</f>
        <v>0</v>
      </c>
    </row>
    <row r="516" spans="1:22" ht="27.95" hidden="1" customHeight="1">
      <c r="A516" s="260">
        <v>2</v>
      </c>
      <c r="B516" s="260">
        <v>2</v>
      </c>
      <c r="C516" s="269" t="s">
        <v>1002</v>
      </c>
      <c r="D516" s="252">
        <v>5</v>
      </c>
      <c r="E516" s="252">
        <v>2</v>
      </c>
      <c r="F516" s="252">
        <v>3</v>
      </c>
      <c r="G516" s="277" t="s">
        <v>995</v>
      </c>
      <c r="H516" s="288" t="s">
        <v>523</v>
      </c>
      <c r="I516" s="238"/>
      <c r="J516" s="254"/>
      <c r="K516" s="255"/>
      <c r="L516" s="256"/>
      <c r="M516" s="257"/>
      <c r="N516" s="266">
        <v>0</v>
      </c>
      <c r="O516" s="261"/>
      <c r="P516" s="266">
        <v>0</v>
      </c>
      <c r="Q516" s="266">
        <f>+N516*P516</f>
        <v>0</v>
      </c>
      <c r="R516" s="267" t="str">
        <f t="shared" si="83"/>
        <v/>
      </c>
      <c r="S516" s="266">
        <f>+IF(W516="DDS",Q516,0)</f>
        <v>0</v>
      </c>
      <c r="T516" s="266">
        <f>+IF(W516="ADD",Q516,0)</f>
        <v>0</v>
      </c>
      <c r="U516" s="266">
        <f>+IF(W516="DDS",0,IF(W516="ADD",0,Q516))</f>
        <v>0</v>
      </c>
      <c r="V516" s="266">
        <v>0</v>
      </c>
    </row>
    <row r="517" spans="1:22" ht="27.95" hidden="1" customHeight="1">
      <c r="A517" s="260"/>
      <c r="B517" s="260"/>
      <c r="C517" s="260"/>
      <c r="D517" s="260"/>
      <c r="E517" s="260"/>
      <c r="F517" s="260"/>
      <c r="G517" s="269"/>
      <c r="H517" s="290" t="s">
        <v>1371</v>
      </c>
      <c r="I517" s="238"/>
      <c r="J517" s="262">
        <v>360</v>
      </c>
      <c r="K517" s="263" t="s">
        <v>1096</v>
      </c>
      <c r="L517" s="264">
        <v>30000</v>
      </c>
      <c r="M517" s="265">
        <f>+J517*L517</f>
        <v>10800000</v>
      </c>
      <c r="N517" s="266">
        <v>360</v>
      </c>
      <c r="O517" s="261" t="s">
        <v>1096</v>
      </c>
      <c r="P517" s="266">
        <v>30000</v>
      </c>
      <c r="Q517" s="266">
        <f>+N517*P517</f>
        <v>10800000</v>
      </c>
      <c r="R517" s="267">
        <f t="shared" si="83"/>
        <v>1</v>
      </c>
      <c r="S517" s="266">
        <f>+IF(W517="DDS",Q517,0)</f>
        <v>0</v>
      </c>
      <c r="T517" s="266">
        <f>+IF(W517="ADD",Q517,0)</f>
        <v>0</v>
      </c>
      <c r="U517" s="266">
        <f>+IF(W517="DDS",0,IF(W517="ADD",0,Q517))</f>
        <v>10800000</v>
      </c>
      <c r="V517" s="266">
        <v>0</v>
      </c>
    </row>
    <row r="518" spans="1:22" ht="27.95" customHeight="1">
      <c r="A518" s="260">
        <v>2</v>
      </c>
      <c r="B518" s="260">
        <v>2</v>
      </c>
      <c r="C518" s="269" t="s">
        <v>1002</v>
      </c>
      <c r="D518" s="229" t="s">
        <v>970</v>
      </c>
      <c r="E518" s="229" t="s">
        <v>963</v>
      </c>
      <c r="F518" s="229" t="s">
        <v>1149</v>
      </c>
      <c r="G518" s="229" t="s">
        <v>959</v>
      </c>
      <c r="H518" s="238" t="s">
        <v>366</v>
      </c>
      <c r="I518" s="230" t="s">
        <v>1372</v>
      </c>
      <c r="J518" s="239"/>
      <c r="K518" s="240">
        <v>11</v>
      </c>
      <c r="L518" s="241" t="s">
        <v>1073</v>
      </c>
      <c r="M518" s="234">
        <f>+M519</f>
        <v>1700000</v>
      </c>
      <c r="N518" s="266"/>
      <c r="O518" s="240">
        <v>11</v>
      </c>
      <c r="P518" s="241" t="s">
        <v>1073</v>
      </c>
      <c r="Q518" s="234">
        <f>+Q519</f>
        <v>1700000</v>
      </c>
      <c r="R518" s="236">
        <f>Q518/M518*100%</f>
        <v>1</v>
      </c>
      <c r="S518" s="234">
        <f>+S519</f>
        <v>0</v>
      </c>
      <c r="T518" s="234">
        <f>+T519</f>
        <v>0</v>
      </c>
      <c r="U518" s="234">
        <f>+U519</f>
        <v>1700000</v>
      </c>
      <c r="V518" s="234">
        <f>+V519</f>
        <v>0</v>
      </c>
    </row>
    <row r="519" spans="1:22" ht="27.95" hidden="1" customHeight="1">
      <c r="A519" s="260">
        <v>2</v>
      </c>
      <c r="B519" s="260">
        <v>2</v>
      </c>
      <c r="C519" s="269" t="s">
        <v>1002</v>
      </c>
      <c r="D519" s="244" t="s">
        <v>363</v>
      </c>
      <c r="E519" s="244" t="s">
        <v>970</v>
      </c>
      <c r="F519" s="244" t="s">
        <v>959</v>
      </c>
      <c r="G519" s="244" t="s">
        <v>959</v>
      </c>
      <c r="H519" s="245" t="s">
        <v>1026</v>
      </c>
      <c r="I519" s="230"/>
      <c r="J519" s="246"/>
      <c r="K519" s="247"/>
      <c r="L519" s="248"/>
      <c r="M519" s="249">
        <f>M520+M524</f>
        <v>1700000</v>
      </c>
      <c r="N519" s="266"/>
      <c r="O519" s="261"/>
      <c r="P519" s="266"/>
      <c r="Q519" s="249">
        <f>Q520+Q524</f>
        <v>1700000</v>
      </c>
      <c r="R519" s="267" t="str">
        <f t="shared" si="83"/>
        <v/>
      </c>
      <c r="S519" s="249">
        <f>S520+S524</f>
        <v>0</v>
      </c>
      <c r="T519" s="249">
        <f>T520+T524</f>
        <v>0</v>
      </c>
      <c r="U519" s="249">
        <f>U520+U524</f>
        <v>1700000</v>
      </c>
      <c r="V519" s="249">
        <f>V520+V524</f>
        <v>0</v>
      </c>
    </row>
    <row r="520" spans="1:22" ht="27.95" hidden="1" customHeight="1">
      <c r="A520" s="229">
        <v>2</v>
      </c>
      <c r="B520" s="229">
        <v>2</v>
      </c>
      <c r="C520" s="270" t="s">
        <v>1002</v>
      </c>
      <c r="D520" s="252" t="s">
        <v>363</v>
      </c>
      <c r="E520" s="252" t="s">
        <v>970</v>
      </c>
      <c r="F520" s="252" t="s">
        <v>362</v>
      </c>
      <c r="G520" s="252" t="s">
        <v>959</v>
      </c>
      <c r="H520" s="253" t="s">
        <v>134</v>
      </c>
      <c r="I520" s="230"/>
      <c r="J520" s="254"/>
      <c r="K520" s="255"/>
      <c r="L520" s="256"/>
      <c r="M520" s="257">
        <f>+SUM(M521:M523)</f>
        <v>1500000</v>
      </c>
      <c r="N520" s="266"/>
      <c r="O520" s="261"/>
      <c r="P520" s="266"/>
      <c r="Q520" s="257">
        <f>+SUM(Q521:Q525)</f>
        <v>1700000</v>
      </c>
      <c r="R520" s="267" t="str">
        <f t="shared" si="83"/>
        <v/>
      </c>
      <c r="S520" s="257">
        <f>+SUM(S521:S525)</f>
        <v>0</v>
      </c>
      <c r="T520" s="257">
        <f>+SUM(T521:T525)</f>
        <v>0</v>
      </c>
      <c r="U520" s="257">
        <f>+SUM(U521:U525)</f>
        <v>1700000</v>
      </c>
      <c r="V520" s="257">
        <f>+SUM(V521:V525)</f>
        <v>0</v>
      </c>
    </row>
    <row r="521" spans="1:22" ht="27.95" hidden="1" customHeight="1">
      <c r="A521" s="260">
        <v>2</v>
      </c>
      <c r="B521" s="260">
        <v>2</v>
      </c>
      <c r="C521" s="269" t="s">
        <v>1002</v>
      </c>
      <c r="D521" s="260" t="s">
        <v>363</v>
      </c>
      <c r="E521" s="260" t="s">
        <v>970</v>
      </c>
      <c r="F521" s="260" t="s">
        <v>362</v>
      </c>
      <c r="G521" s="260" t="s">
        <v>1040</v>
      </c>
      <c r="H521" s="261" t="s">
        <v>252</v>
      </c>
      <c r="I521" s="230"/>
      <c r="J521" s="262">
        <v>150</v>
      </c>
      <c r="K521" s="263" t="s">
        <v>1042</v>
      </c>
      <c r="L521" s="264">
        <v>10000</v>
      </c>
      <c r="M521" s="265">
        <f>+J521*L521</f>
        <v>1500000</v>
      </c>
      <c r="N521" s="266">
        <v>150</v>
      </c>
      <c r="O521" s="261" t="s">
        <v>1042</v>
      </c>
      <c r="P521" s="266">
        <v>10000</v>
      </c>
      <c r="Q521" s="266">
        <f>+N521*P521</f>
        <v>1500000</v>
      </c>
      <c r="R521" s="267">
        <f t="shared" si="83"/>
        <v>1</v>
      </c>
      <c r="S521" s="266">
        <f>+IF(W521="DDS",Q521,0)</f>
        <v>0</v>
      </c>
      <c r="T521" s="266">
        <f>+IF(W521="ADD",Q521,0)</f>
        <v>0</v>
      </c>
      <c r="U521" s="266">
        <f>+IF(W521="DDS",0,IF(W521="ADD",0,Q521))</f>
        <v>1500000</v>
      </c>
      <c r="V521" s="266">
        <v>0</v>
      </c>
    </row>
    <row r="522" spans="1:22" ht="27.95" hidden="1" customHeight="1">
      <c r="A522" s="260">
        <v>2</v>
      </c>
      <c r="B522" s="260">
        <v>2</v>
      </c>
      <c r="C522" s="269" t="s">
        <v>1002</v>
      </c>
      <c r="D522" s="260" t="s">
        <v>363</v>
      </c>
      <c r="E522" s="260" t="s">
        <v>970</v>
      </c>
      <c r="F522" s="260" t="s">
        <v>362</v>
      </c>
      <c r="G522" s="260">
        <v>99</v>
      </c>
      <c r="H522" s="261" t="s">
        <v>1373</v>
      </c>
      <c r="I522" s="230"/>
      <c r="J522" s="262"/>
      <c r="K522" s="263"/>
      <c r="L522" s="264"/>
      <c r="M522" s="265"/>
      <c r="N522" s="266">
        <v>0</v>
      </c>
      <c r="O522" s="261"/>
      <c r="P522" s="266">
        <v>0</v>
      </c>
      <c r="Q522" s="266">
        <f>+N522*P522</f>
        <v>0</v>
      </c>
      <c r="R522" s="267" t="str">
        <f t="shared" si="83"/>
        <v/>
      </c>
      <c r="S522" s="266">
        <f>+IF(W522="DDS",Q522,0)</f>
        <v>0</v>
      </c>
      <c r="T522" s="266">
        <f>+IF(W522="ADD",Q522,0)</f>
        <v>0</v>
      </c>
      <c r="U522" s="266">
        <f>+IF(W522="DDS",0,IF(W522="ADD",0,Q522))</f>
        <v>0</v>
      </c>
      <c r="V522" s="266">
        <v>0</v>
      </c>
    </row>
    <row r="523" spans="1:22" ht="27.95" hidden="1" customHeight="1">
      <c r="A523" s="229"/>
      <c r="B523" s="229"/>
      <c r="C523" s="270"/>
      <c r="D523" s="260"/>
      <c r="E523" s="260"/>
      <c r="F523" s="260"/>
      <c r="G523" s="260"/>
      <c r="H523" s="268" t="s">
        <v>1225</v>
      </c>
      <c r="I523" s="230"/>
      <c r="J523" s="262">
        <v>0</v>
      </c>
      <c r="K523" s="263" t="s">
        <v>1191</v>
      </c>
      <c r="L523" s="264">
        <v>25000</v>
      </c>
      <c r="M523" s="265">
        <f>+J523*L523</f>
        <v>0</v>
      </c>
      <c r="N523" s="266">
        <v>0</v>
      </c>
      <c r="O523" s="261"/>
      <c r="P523" s="266">
        <v>0</v>
      </c>
      <c r="Q523" s="266">
        <f>+N523*P523</f>
        <v>0</v>
      </c>
      <c r="R523" s="267" t="e">
        <f t="shared" si="83"/>
        <v>#DIV/0!</v>
      </c>
      <c r="S523" s="266">
        <f>+IF(W523="DDS",Q523,0)</f>
        <v>0</v>
      </c>
      <c r="T523" s="266">
        <f>+IF(W523="ADD",Q523,0)</f>
        <v>0</v>
      </c>
      <c r="U523" s="266">
        <f>+IF(W523="DDS",0,IF(W523="ADD",0,Q523))</f>
        <v>0</v>
      </c>
      <c r="V523" s="266">
        <v>0</v>
      </c>
    </row>
    <row r="524" spans="1:22" ht="27.95" hidden="1" customHeight="1">
      <c r="A524" s="260">
        <v>2</v>
      </c>
      <c r="B524" s="260">
        <v>2</v>
      </c>
      <c r="C524" s="269" t="s">
        <v>1002</v>
      </c>
      <c r="D524" s="252" t="s">
        <v>363</v>
      </c>
      <c r="E524" s="252" t="s">
        <v>970</v>
      </c>
      <c r="F524" s="252" t="s">
        <v>970</v>
      </c>
      <c r="G524" s="252" t="s">
        <v>959</v>
      </c>
      <c r="H524" s="253" t="s">
        <v>135</v>
      </c>
      <c r="I524" s="230"/>
      <c r="J524" s="254"/>
      <c r="K524" s="255"/>
      <c r="L524" s="256"/>
      <c r="M524" s="257">
        <f>+SUM(M525:M525)</f>
        <v>200000</v>
      </c>
      <c r="N524" s="266">
        <v>0</v>
      </c>
      <c r="O524" s="261"/>
      <c r="P524" s="266">
        <v>0</v>
      </c>
      <c r="Q524" s="266">
        <f>+N524*P524</f>
        <v>0</v>
      </c>
      <c r="R524" s="267" t="str">
        <f t="shared" si="83"/>
        <v/>
      </c>
      <c r="S524" s="266">
        <f>+IF(W524="DDS",Q524,0)</f>
        <v>0</v>
      </c>
      <c r="T524" s="266">
        <f>+IF(W524="ADD",Q524,0)</f>
        <v>0</v>
      </c>
      <c r="U524" s="266">
        <f>+IF(W524="DDS",0,IF(W524="ADD",0,Q524))</f>
        <v>0</v>
      </c>
      <c r="V524" s="266">
        <v>0</v>
      </c>
    </row>
    <row r="525" spans="1:22" ht="27.95" hidden="1" customHeight="1">
      <c r="A525" s="260">
        <v>2</v>
      </c>
      <c r="B525" s="260">
        <v>2</v>
      </c>
      <c r="C525" s="269" t="s">
        <v>1002</v>
      </c>
      <c r="D525" s="260" t="s">
        <v>363</v>
      </c>
      <c r="E525" s="260" t="s">
        <v>970</v>
      </c>
      <c r="F525" s="260" t="s">
        <v>970</v>
      </c>
      <c r="G525" s="260" t="s">
        <v>1002</v>
      </c>
      <c r="H525" s="261" t="s">
        <v>1374</v>
      </c>
      <c r="I525" s="230"/>
      <c r="J525" s="262">
        <v>1</v>
      </c>
      <c r="K525" s="263" t="s">
        <v>966</v>
      </c>
      <c r="L525" s="264">
        <v>200000</v>
      </c>
      <c r="M525" s="265">
        <f>+J525*L525</f>
        <v>200000</v>
      </c>
      <c r="N525" s="266">
        <v>1</v>
      </c>
      <c r="O525" s="261" t="s">
        <v>966</v>
      </c>
      <c r="P525" s="266">
        <v>200000</v>
      </c>
      <c r="Q525" s="266">
        <f>+N525*P525</f>
        <v>200000</v>
      </c>
      <c r="R525" s="267">
        <f t="shared" si="83"/>
        <v>1</v>
      </c>
      <c r="S525" s="266">
        <f>+IF(W525="DDS",Q525,0)</f>
        <v>0</v>
      </c>
      <c r="T525" s="266">
        <f>+IF(W525="ADD",Q525,0)</f>
        <v>0</v>
      </c>
      <c r="U525" s="266">
        <f>+IF(W525="DDS",0,IF(W525="ADD",0,Q525))</f>
        <v>200000</v>
      </c>
      <c r="V525" s="266">
        <v>0</v>
      </c>
    </row>
    <row r="526" spans="1:22" ht="27.95" customHeight="1">
      <c r="A526" s="229" t="s">
        <v>970</v>
      </c>
      <c r="B526" s="229" t="s">
        <v>963</v>
      </c>
      <c r="C526" s="229" t="s">
        <v>1167</v>
      </c>
      <c r="D526" s="229"/>
      <c r="E526" s="229"/>
      <c r="F526" s="229"/>
      <c r="G526" s="229" t="s">
        <v>959</v>
      </c>
      <c r="H526" s="238" t="s">
        <v>1375</v>
      </c>
      <c r="I526" s="230" t="s">
        <v>1376</v>
      </c>
      <c r="J526" s="239"/>
      <c r="K526" s="240">
        <v>12</v>
      </c>
      <c r="L526" s="241" t="s">
        <v>1073</v>
      </c>
      <c r="M526" s="234">
        <f>+M527</f>
        <v>57420000</v>
      </c>
      <c r="N526" s="266">
        <v>0</v>
      </c>
      <c r="O526" s="240">
        <v>12</v>
      </c>
      <c r="P526" s="241" t="s">
        <v>1073</v>
      </c>
      <c r="Q526" s="234">
        <f>+Q527</f>
        <v>50827500</v>
      </c>
      <c r="R526" s="236">
        <f>Q526/M526*100%</f>
        <v>0.8851880877742947</v>
      </c>
      <c r="S526" s="234">
        <f t="shared" ref="S526:V527" si="91">+S527</f>
        <v>0</v>
      </c>
      <c r="T526" s="234">
        <f t="shared" si="91"/>
        <v>0</v>
      </c>
      <c r="U526" s="234">
        <f t="shared" si="91"/>
        <v>50827500</v>
      </c>
      <c r="V526" s="234">
        <f t="shared" si="91"/>
        <v>0</v>
      </c>
    </row>
    <row r="527" spans="1:22" ht="27.95" hidden="1" customHeight="1">
      <c r="A527" s="260" t="s">
        <v>970</v>
      </c>
      <c r="B527" s="260" t="s">
        <v>963</v>
      </c>
      <c r="C527" s="260" t="s">
        <v>1149</v>
      </c>
      <c r="D527" s="244" t="s">
        <v>363</v>
      </c>
      <c r="E527" s="244" t="s">
        <v>970</v>
      </c>
      <c r="F527" s="244" t="s">
        <v>959</v>
      </c>
      <c r="G527" s="244" t="s">
        <v>959</v>
      </c>
      <c r="H527" s="245" t="s">
        <v>133</v>
      </c>
      <c r="I527" s="230"/>
      <c r="J527" s="246"/>
      <c r="K527" s="247"/>
      <c r="L527" s="248"/>
      <c r="M527" s="249">
        <f>+M528</f>
        <v>57420000</v>
      </c>
      <c r="N527" s="266">
        <v>0</v>
      </c>
      <c r="O527" s="261"/>
      <c r="P527" s="266">
        <v>0</v>
      </c>
      <c r="Q527" s="249">
        <f>+Q528</f>
        <v>50827500</v>
      </c>
      <c r="R527" s="267" t="str">
        <f t="shared" si="83"/>
        <v/>
      </c>
      <c r="S527" s="249">
        <f t="shared" si="91"/>
        <v>0</v>
      </c>
      <c r="T527" s="249">
        <f t="shared" si="91"/>
        <v>0</v>
      </c>
      <c r="U527" s="249">
        <f t="shared" si="91"/>
        <v>50827500</v>
      </c>
      <c r="V527" s="249">
        <f t="shared" si="91"/>
        <v>0</v>
      </c>
    </row>
    <row r="528" spans="1:22" ht="27.95" hidden="1" customHeight="1">
      <c r="A528" s="229" t="s">
        <v>970</v>
      </c>
      <c r="B528" s="229" t="s">
        <v>963</v>
      </c>
      <c r="C528" s="229" t="s">
        <v>1149</v>
      </c>
      <c r="D528" s="252" t="s">
        <v>363</v>
      </c>
      <c r="E528" s="252" t="s">
        <v>970</v>
      </c>
      <c r="F528" s="252" t="s">
        <v>1346</v>
      </c>
      <c r="G528" s="252" t="s">
        <v>959</v>
      </c>
      <c r="H528" s="253" t="s">
        <v>1347</v>
      </c>
      <c r="I528" s="230"/>
      <c r="J528" s="254"/>
      <c r="K528" s="255"/>
      <c r="L528" s="256"/>
      <c r="M528" s="257">
        <f t="array" ref="M528">SUM(M530:M531+M529)</f>
        <v>57420000</v>
      </c>
      <c r="N528" s="266">
        <v>0</v>
      </c>
      <c r="O528" s="261"/>
      <c r="P528" s="266">
        <v>0</v>
      </c>
      <c r="Q528" s="257">
        <f t="array" ref="Q528">SUM(Q530:Q531+Q529)</f>
        <v>50827500</v>
      </c>
      <c r="R528" s="267" t="str">
        <f t="shared" si="83"/>
        <v/>
      </c>
      <c r="S528" s="257">
        <f t="array" ref="S528">SUM(S530:S531+S529)</f>
        <v>0</v>
      </c>
      <c r="T528" s="257">
        <f t="array" ref="T528">SUM(T530:T531+T529)</f>
        <v>0</v>
      </c>
      <c r="U528" s="257">
        <f t="array" ref="U528">SUM(U530:U531+U529)</f>
        <v>50827500</v>
      </c>
      <c r="V528" s="257">
        <f t="array" ref="V528">SUM(V530:V531+V529)</f>
        <v>0</v>
      </c>
    </row>
    <row r="529" spans="1:22" ht="27.95" hidden="1" customHeight="1">
      <c r="A529" s="260" t="s">
        <v>970</v>
      </c>
      <c r="B529" s="260" t="s">
        <v>963</v>
      </c>
      <c r="C529" s="260" t="s">
        <v>1149</v>
      </c>
      <c r="D529" s="260" t="s">
        <v>363</v>
      </c>
      <c r="E529" s="260" t="s">
        <v>970</v>
      </c>
      <c r="F529" s="260" t="s">
        <v>1346</v>
      </c>
      <c r="G529" s="260" t="s">
        <v>1076</v>
      </c>
      <c r="H529" s="261" t="s">
        <v>256</v>
      </c>
      <c r="I529" s="230"/>
      <c r="J529" s="262"/>
      <c r="K529" s="263"/>
      <c r="L529" s="264"/>
      <c r="M529" s="265"/>
      <c r="N529" s="266">
        <v>0</v>
      </c>
      <c r="O529" s="261"/>
      <c r="P529" s="266">
        <v>0</v>
      </c>
      <c r="Q529" s="266">
        <f>+N529*P529</f>
        <v>0</v>
      </c>
      <c r="R529" s="267" t="str">
        <f t="shared" si="83"/>
        <v/>
      </c>
      <c r="S529" s="266">
        <f>+IF(W529="DDS",Q529,0)</f>
        <v>0</v>
      </c>
      <c r="T529" s="266">
        <f>+IF(W529="ADD",Q529,0)</f>
        <v>0</v>
      </c>
      <c r="U529" s="266">
        <f>+IF(W529="DDS",0,IF(W529="ADD",0,Q529))</f>
        <v>0</v>
      </c>
      <c r="V529" s="266">
        <v>0</v>
      </c>
    </row>
    <row r="530" spans="1:22" ht="27.95" hidden="1" customHeight="1">
      <c r="A530" s="260"/>
      <c r="B530" s="260"/>
      <c r="C530" s="260"/>
      <c r="D530" s="260"/>
      <c r="E530" s="260"/>
      <c r="F530" s="260"/>
      <c r="G530" s="260"/>
      <c r="H530" s="268" t="s">
        <v>1377</v>
      </c>
      <c r="I530" s="230"/>
      <c r="J530" s="262">
        <v>3336</v>
      </c>
      <c r="K530" s="263" t="s">
        <v>1096</v>
      </c>
      <c r="L530" s="264">
        <v>7500</v>
      </c>
      <c r="M530" s="265">
        <f>+J530*L530</f>
        <v>25020000</v>
      </c>
      <c r="N530" s="266">
        <f>860+822+775</f>
        <v>2457</v>
      </c>
      <c r="O530" s="261" t="s">
        <v>1042</v>
      </c>
      <c r="P530" s="266">
        <v>7500</v>
      </c>
      <c r="Q530" s="266">
        <f>+N530*P530</f>
        <v>18427500</v>
      </c>
      <c r="R530" s="267">
        <f t="shared" ref="R530:R593" si="92">IF(J530="","",Q530/M530)</f>
        <v>0.73651079136690645</v>
      </c>
      <c r="S530" s="266">
        <f>+IF(W530="DDS",Q530,0)</f>
        <v>0</v>
      </c>
      <c r="T530" s="266">
        <f>+IF(W530="ADD",Q530,0)</f>
        <v>0</v>
      </c>
      <c r="U530" s="266">
        <f>+IF(W530="DDS",0,IF(W530="ADD",0,Q530))</f>
        <v>18427500</v>
      </c>
      <c r="V530" s="266">
        <v>0</v>
      </c>
    </row>
    <row r="531" spans="1:22" ht="27.95" hidden="1" customHeight="1">
      <c r="A531" s="260"/>
      <c r="B531" s="260"/>
      <c r="C531" s="260"/>
      <c r="D531" s="260"/>
      <c r="E531" s="260"/>
      <c r="F531" s="260"/>
      <c r="G531" s="260"/>
      <c r="H531" s="268" t="s">
        <v>1378</v>
      </c>
      <c r="I531" s="230"/>
      <c r="J531" s="262">
        <v>2160</v>
      </c>
      <c r="K531" s="263" t="s">
        <v>1060</v>
      </c>
      <c r="L531" s="264">
        <v>15000</v>
      </c>
      <c r="M531" s="265">
        <f>+J531*L531</f>
        <v>32400000</v>
      </c>
      <c r="N531" s="266">
        <f>240*9</f>
        <v>2160</v>
      </c>
      <c r="O531" s="261" t="s">
        <v>1042</v>
      </c>
      <c r="P531" s="266">
        <v>15000</v>
      </c>
      <c r="Q531" s="266">
        <f>+N531*P531</f>
        <v>32400000</v>
      </c>
      <c r="R531" s="267">
        <f t="shared" si="92"/>
        <v>1</v>
      </c>
      <c r="S531" s="266">
        <f>+IF(W531="DDS",Q531,0)</f>
        <v>0</v>
      </c>
      <c r="T531" s="266">
        <f>+IF(W531="ADD",Q531,0)</f>
        <v>0</v>
      </c>
      <c r="U531" s="266">
        <f>+IF(W531="DDS",0,IF(W531="ADD",0,Q531))</f>
        <v>32400000</v>
      </c>
      <c r="V531" s="266">
        <v>0</v>
      </c>
    </row>
    <row r="532" spans="1:22" ht="27.95" hidden="1" customHeight="1">
      <c r="A532" s="229" t="s">
        <v>970</v>
      </c>
      <c r="B532" s="229" t="s">
        <v>963</v>
      </c>
      <c r="C532" s="229" t="s">
        <v>1149</v>
      </c>
      <c r="D532" s="229" t="s">
        <v>970</v>
      </c>
      <c r="E532" s="229" t="s">
        <v>963</v>
      </c>
      <c r="F532" s="229" t="s">
        <v>1379</v>
      </c>
      <c r="G532" s="229" t="s">
        <v>959</v>
      </c>
      <c r="H532" s="230" t="s">
        <v>367</v>
      </c>
      <c r="I532" s="230" t="s">
        <v>1380</v>
      </c>
      <c r="J532" s="239"/>
      <c r="K532" s="240"/>
      <c r="L532" s="241"/>
      <c r="M532" s="234">
        <f>+M533</f>
        <v>54300000</v>
      </c>
      <c r="N532" s="266"/>
      <c r="O532" s="261"/>
      <c r="P532" s="266"/>
      <c r="Q532" s="234">
        <f>+Q533</f>
        <v>54300000</v>
      </c>
      <c r="R532" s="267" t="str">
        <f t="shared" si="92"/>
        <v/>
      </c>
      <c r="S532" s="234">
        <f t="shared" ref="S532:V533" si="93">+S533</f>
        <v>0</v>
      </c>
      <c r="T532" s="234">
        <f t="shared" si="93"/>
        <v>0</v>
      </c>
      <c r="U532" s="234">
        <f t="shared" si="93"/>
        <v>55500000</v>
      </c>
      <c r="V532" s="234">
        <f t="shared" si="93"/>
        <v>0</v>
      </c>
    </row>
    <row r="533" spans="1:22" ht="27.95" hidden="1" customHeight="1">
      <c r="A533" s="260" t="s">
        <v>970</v>
      </c>
      <c r="B533" s="260" t="s">
        <v>963</v>
      </c>
      <c r="C533" s="260" t="s">
        <v>1149</v>
      </c>
      <c r="D533" s="244" t="s">
        <v>363</v>
      </c>
      <c r="E533" s="244" t="s">
        <v>970</v>
      </c>
      <c r="F533" s="244" t="s">
        <v>959</v>
      </c>
      <c r="G533" s="244" t="s">
        <v>959</v>
      </c>
      <c r="H533" s="289" t="s">
        <v>133</v>
      </c>
      <c r="I533" s="230"/>
      <c r="J533" s="246"/>
      <c r="K533" s="247"/>
      <c r="L533" s="248"/>
      <c r="M533" s="249">
        <f>+M534</f>
        <v>54300000</v>
      </c>
      <c r="N533" s="266"/>
      <c r="O533" s="261"/>
      <c r="P533" s="266"/>
      <c r="Q533" s="249">
        <f>+Q534</f>
        <v>54300000</v>
      </c>
      <c r="R533" s="267" t="str">
        <f t="shared" si="92"/>
        <v/>
      </c>
      <c r="S533" s="249">
        <f t="shared" si="93"/>
        <v>0</v>
      </c>
      <c r="T533" s="249">
        <f t="shared" si="93"/>
        <v>0</v>
      </c>
      <c r="U533" s="249">
        <f t="shared" si="93"/>
        <v>55500000</v>
      </c>
      <c r="V533" s="249">
        <f t="shared" si="93"/>
        <v>0</v>
      </c>
    </row>
    <row r="534" spans="1:22" ht="27.95" hidden="1" customHeight="1">
      <c r="A534" s="229" t="s">
        <v>970</v>
      </c>
      <c r="B534" s="229" t="s">
        <v>963</v>
      </c>
      <c r="C534" s="229" t="s">
        <v>1167</v>
      </c>
      <c r="D534" s="252" t="s">
        <v>363</v>
      </c>
      <c r="E534" s="252" t="s">
        <v>970</v>
      </c>
      <c r="F534" s="252" t="s">
        <v>970</v>
      </c>
      <c r="G534" s="252" t="s">
        <v>959</v>
      </c>
      <c r="H534" s="288" t="s">
        <v>135</v>
      </c>
      <c r="I534" s="230"/>
      <c r="J534" s="254"/>
      <c r="K534" s="255"/>
      <c r="L534" s="256"/>
      <c r="M534" s="257">
        <f>+SUM(M535:M537)</f>
        <v>54300000</v>
      </c>
      <c r="N534" s="266"/>
      <c r="O534" s="261"/>
      <c r="P534" s="266"/>
      <c r="Q534" s="257">
        <f>+SUM(Q535:Q537)</f>
        <v>54300000</v>
      </c>
      <c r="R534" s="267" t="str">
        <f t="shared" si="92"/>
        <v/>
      </c>
      <c r="S534" s="257">
        <f>+SUM(S535:S537)</f>
        <v>0</v>
      </c>
      <c r="T534" s="257">
        <f>+SUM(T535:T537)</f>
        <v>0</v>
      </c>
      <c r="U534" s="257">
        <f>+SUM(U535:U537)</f>
        <v>55500000</v>
      </c>
      <c r="V534" s="257">
        <f>+SUM(V535:V537)</f>
        <v>0</v>
      </c>
    </row>
    <row r="535" spans="1:22" ht="27.95" hidden="1" customHeight="1">
      <c r="A535" s="260" t="s">
        <v>970</v>
      </c>
      <c r="B535" s="260" t="s">
        <v>963</v>
      </c>
      <c r="C535" s="260" t="s">
        <v>1167</v>
      </c>
      <c r="D535" s="260" t="s">
        <v>363</v>
      </c>
      <c r="E535" s="260" t="s">
        <v>970</v>
      </c>
      <c r="F535" s="260" t="s">
        <v>970</v>
      </c>
      <c r="G535" s="260" t="s">
        <v>1076</v>
      </c>
      <c r="H535" s="278" t="s">
        <v>533</v>
      </c>
      <c r="I535" s="230"/>
      <c r="J535" s="262"/>
      <c r="K535" s="263"/>
      <c r="L535" s="264"/>
      <c r="M535" s="265"/>
      <c r="N535" s="266">
        <v>0</v>
      </c>
      <c r="O535" s="261"/>
      <c r="P535" s="266">
        <v>0</v>
      </c>
      <c r="Q535" s="249">
        <v>0</v>
      </c>
      <c r="R535" s="267" t="str">
        <f t="shared" si="92"/>
        <v/>
      </c>
      <c r="S535" s="249">
        <v>0</v>
      </c>
      <c r="T535" s="249">
        <f>+T536</f>
        <v>0</v>
      </c>
      <c r="U535" s="249">
        <f>+U536</f>
        <v>1200000</v>
      </c>
      <c r="V535" s="249">
        <f>+V536</f>
        <v>0</v>
      </c>
    </row>
    <row r="536" spans="1:22" ht="27.95" hidden="1" customHeight="1">
      <c r="A536" s="229"/>
      <c r="B536" s="229"/>
      <c r="C536" s="229"/>
      <c r="D536" s="260"/>
      <c r="E536" s="260"/>
      <c r="F536" s="260"/>
      <c r="G536" s="260"/>
      <c r="H536" s="290" t="s">
        <v>1381</v>
      </c>
      <c r="I536" s="230"/>
      <c r="J536" s="262">
        <v>12</v>
      </c>
      <c r="K536" s="263" t="s">
        <v>966</v>
      </c>
      <c r="L536" s="264">
        <v>100000</v>
      </c>
      <c r="M536" s="265">
        <f>+J536*L536</f>
        <v>1200000</v>
      </c>
      <c r="N536" s="266">
        <v>12</v>
      </c>
      <c r="O536" s="261" t="s">
        <v>966</v>
      </c>
      <c r="P536" s="266">
        <v>100000</v>
      </c>
      <c r="Q536" s="266">
        <f>+N536*P536</f>
        <v>1200000</v>
      </c>
      <c r="R536" s="267">
        <f t="shared" si="92"/>
        <v>1</v>
      </c>
      <c r="S536" s="266">
        <f>+IF(W536="DDS",Q536,0)</f>
        <v>0</v>
      </c>
      <c r="T536" s="266">
        <f>+IF(W536="ADD",Q536,0)</f>
        <v>0</v>
      </c>
      <c r="U536" s="266">
        <f>+IF(W536="DDS",0,IF(W536="ADD",0,Q536))</f>
        <v>1200000</v>
      </c>
      <c r="V536" s="266">
        <v>0</v>
      </c>
    </row>
    <row r="537" spans="1:22" ht="27.95" hidden="1" customHeight="1">
      <c r="A537" s="260"/>
      <c r="B537" s="260"/>
      <c r="C537" s="260"/>
      <c r="D537" s="260"/>
      <c r="E537" s="260"/>
      <c r="F537" s="260"/>
      <c r="G537" s="260"/>
      <c r="H537" s="290" t="s">
        <v>1382</v>
      </c>
      <c r="I537" s="230"/>
      <c r="J537" s="262">
        <v>708</v>
      </c>
      <c r="K537" s="263" t="s">
        <v>966</v>
      </c>
      <c r="L537" s="264">
        <v>75000</v>
      </c>
      <c r="M537" s="265">
        <f>+J537*L537</f>
        <v>53100000</v>
      </c>
      <c r="N537" s="266">
        <v>708</v>
      </c>
      <c r="O537" s="261" t="s">
        <v>966</v>
      </c>
      <c r="P537" s="266">
        <v>75000</v>
      </c>
      <c r="Q537" s="266">
        <f>+N537*P537</f>
        <v>53100000</v>
      </c>
      <c r="R537" s="267">
        <f t="shared" si="92"/>
        <v>1</v>
      </c>
      <c r="S537" s="266">
        <f>+IF(W537="DDS",Q537,0)</f>
        <v>0</v>
      </c>
      <c r="T537" s="266">
        <f>+IF(W537="ADD",Q537,0)</f>
        <v>0</v>
      </c>
      <c r="U537" s="266">
        <f>+IF(W537="DDS",0,IF(W537="ADD",0,Q537))</f>
        <v>53100000</v>
      </c>
      <c r="V537" s="266">
        <v>0</v>
      </c>
    </row>
    <row r="538" spans="1:22" ht="27.95" customHeight="1">
      <c r="A538" s="229" t="s">
        <v>970</v>
      </c>
      <c r="B538" s="229" t="s">
        <v>995</v>
      </c>
      <c r="C538" s="260"/>
      <c r="D538" s="229"/>
      <c r="E538" s="229"/>
      <c r="F538" s="229" t="s">
        <v>959</v>
      </c>
      <c r="G538" s="229" t="s">
        <v>959</v>
      </c>
      <c r="H538" s="230" t="s">
        <v>165</v>
      </c>
      <c r="I538" s="230"/>
      <c r="J538" s="231"/>
      <c r="K538" s="232"/>
      <c r="L538" s="237"/>
      <c r="M538" s="234">
        <f>M539+M557+M605</f>
        <v>263018000</v>
      </c>
      <c r="N538" s="266"/>
      <c r="O538" s="261"/>
      <c r="P538" s="266"/>
      <c r="Q538" s="234">
        <f>Q557+Q605</f>
        <v>259948000</v>
      </c>
      <c r="R538" s="236">
        <f>Q538/M538*100%</f>
        <v>0.98832779505585167</v>
      </c>
      <c r="S538" s="234">
        <f>S557+S605</f>
        <v>18526000</v>
      </c>
      <c r="T538" s="234">
        <f>T557+T605</f>
        <v>0</v>
      </c>
      <c r="U538" s="234">
        <f>U557+U605</f>
        <v>241422000</v>
      </c>
      <c r="V538" s="234">
        <f>V557+V605</f>
        <v>0</v>
      </c>
    </row>
    <row r="539" spans="1:22" ht="27.95" customHeight="1">
      <c r="A539" s="229">
        <v>2</v>
      </c>
      <c r="B539" s="270" t="s">
        <v>995</v>
      </c>
      <c r="C539" s="252">
        <v>12</v>
      </c>
      <c r="D539" s="252"/>
      <c r="E539" s="252"/>
      <c r="F539" s="252"/>
      <c r="G539" s="252"/>
      <c r="H539" s="283" t="s">
        <v>1383</v>
      </c>
      <c r="I539" s="230" t="s">
        <v>1384</v>
      </c>
      <c r="J539" s="254"/>
      <c r="K539" s="255">
        <v>1</v>
      </c>
      <c r="L539" s="256" t="s">
        <v>1538</v>
      </c>
      <c r="M539" s="257">
        <f>M540</f>
        <v>0</v>
      </c>
      <c r="N539" s="266"/>
      <c r="O539" s="255">
        <v>0</v>
      </c>
      <c r="P539" s="256" t="s">
        <v>1538</v>
      </c>
      <c r="Q539" s="257">
        <f>Q540</f>
        <v>0</v>
      </c>
      <c r="R539" s="267" t="str">
        <f t="shared" si="92"/>
        <v/>
      </c>
      <c r="S539" s="257">
        <f>S540</f>
        <v>0</v>
      </c>
      <c r="T539" s="257">
        <f>T540</f>
        <v>0</v>
      </c>
      <c r="U539" s="257">
        <f>U540</f>
        <v>0</v>
      </c>
      <c r="V539" s="257">
        <f>V540</f>
        <v>0</v>
      </c>
    </row>
    <row r="540" spans="1:22" ht="27.95" hidden="1" customHeight="1">
      <c r="A540" s="229">
        <v>2</v>
      </c>
      <c r="B540" s="270" t="s">
        <v>995</v>
      </c>
      <c r="C540" s="252">
        <v>12</v>
      </c>
      <c r="D540" s="260">
        <v>5</v>
      </c>
      <c r="E540" s="260">
        <v>3</v>
      </c>
      <c r="F540" s="260"/>
      <c r="G540" s="260"/>
      <c r="H540" s="268" t="s">
        <v>141</v>
      </c>
      <c r="I540" s="230"/>
      <c r="J540" s="262"/>
      <c r="K540" s="263"/>
      <c r="L540" s="264"/>
      <c r="M540" s="265">
        <f>SUM(M541)</f>
        <v>0</v>
      </c>
      <c r="N540" s="266"/>
      <c r="O540" s="261"/>
      <c r="P540" s="266"/>
      <c r="Q540" s="265">
        <f>SUM(Q541)</f>
        <v>0</v>
      </c>
      <c r="R540" s="267" t="str">
        <f t="shared" si="92"/>
        <v/>
      </c>
      <c r="S540" s="265">
        <f>SUM(S541)</f>
        <v>0</v>
      </c>
      <c r="T540" s="265">
        <f>SUM(T541)</f>
        <v>0</v>
      </c>
      <c r="U540" s="265">
        <f>SUM(U541)</f>
        <v>0</v>
      </c>
      <c r="V540" s="265">
        <f>SUM(V541)</f>
        <v>0</v>
      </c>
    </row>
    <row r="541" spans="1:22" ht="27.95" hidden="1" customHeight="1">
      <c r="A541" s="229">
        <v>2</v>
      </c>
      <c r="B541" s="270" t="s">
        <v>995</v>
      </c>
      <c r="C541" s="252">
        <v>12</v>
      </c>
      <c r="D541" s="229">
        <v>5</v>
      </c>
      <c r="E541" s="229">
        <v>3</v>
      </c>
      <c r="F541" s="229">
        <v>5</v>
      </c>
      <c r="G541" s="229"/>
      <c r="H541" s="296" t="s">
        <v>1314</v>
      </c>
      <c r="I541" s="230"/>
      <c r="J541" s="231"/>
      <c r="K541" s="232"/>
      <c r="L541" s="237"/>
      <c r="M541" s="234">
        <f>SUM(M542:M556)</f>
        <v>0</v>
      </c>
      <c r="N541" s="266"/>
      <c r="O541" s="261"/>
      <c r="P541" s="266"/>
      <c r="Q541" s="234">
        <f>SUM(Q542:Q556)</f>
        <v>0</v>
      </c>
      <c r="R541" s="267" t="str">
        <f t="shared" si="92"/>
        <v/>
      </c>
      <c r="S541" s="234">
        <f>SUM(S542:S556)</f>
        <v>0</v>
      </c>
      <c r="T541" s="234">
        <f>SUM(T542:T556)</f>
        <v>0</v>
      </c>
      <c r="U541" s="234">
        <f>SUM(U542:U556)</f>
        <v>0</v>
      </c>
      <c r="V541" s="234">
        <f>SUM(V542:V556)</f>
        <v>0</v>
      </c>
    </row>
    <row r="542" spans="1:22" ht="27.95" hidden="1" customHeight="1">
      <c r="A542" s="229">
        <v>2</v>
      </c>
      <c r="B542" s="270" t="s">
        <v>995</v>
      </c>
      <c r="C542" s="252">
        <v>12</v>
      </c>
      <c r="D542" s="260">
        <v>5</v>
      </c>
      <c r="E542" s="260">
        <v>3</v>
      </c>
      <c r="F542" s="260">
        <v>5</v>
      </c>
      <c r="G542" s="269" t="s">
        <v>960</v>
      </c>
      <c r="H542" s="268" t="s">
        <v>1385</v>
      </c>
      <c r="I542" s="230"/>
      <c r="J542" s="262">
        <v>0</v>
      </c>
      <c r="K542" s="263" t="s">
        <v>966</v>
      </c>
      <c r="L542" s="264">
        <v>950000</v>
      </c>
      <c r="M542" s="265">
        <f>+J542*L542</f>
        <v>0</v>
      </c>
      <c r="N542" s="266">
        <v>0</v>
      </c>
      <c r="O542" s="261"/>
      <c r="P542" s="266">
        <v>0</v>
      </c>
      <c r="Q542" s="266">
        <f t="shared" ref="Q542:Q599" si="94">+N542*P542</f>
        <v>0</v>
      </c>
      <c r="R542" s="267"/>
      <c r="S542" s="266">
        <f t="shared" ref="S542:S599" si="95">+IF(W542="DDS",Q542,0)</f>
        <v>0</v>
      </c>
      <c r="T542" s="266">
        <f t="shared" ref="T542:T599" si="96">+IF(W542="ADD",Q542,0)</f>
        <v>0</v>
      </c>
      <c r="U542" s="266">
        <f t="shared" ref="U542:U599" si="97">+IF(W542="DDS",0,IF(W542="ADD",0,Q542))</f>
        <v>0</v>
      </c>
      <c r="V542" s="266">
        <v>0</v>
      </c>
    </row>
    <row r="543" spans="1:22" ht="27.95" hidden="1" customHeight="1">
      <c r="A543" s="229">
        <v>2</v>
      </c>
      <c r="B543" s="270" t="s">
        <v>995</v>
      </c>
      <c r="C543" s="252">
        <v>12</v>
      </c>
      <c r="D543" s="260">
        <v>5</v>
      </c>
      <c r="E543" s="260">
        <v>3</v>
      </c>
      <c r="F543" s="260">
        <v>5</v>
      </c>
      <c r="G543" s="269" t="s">
        <v>963</v>
      </c>
      <c r="H543" s="268" t="s">
        <v>1386</v>
      </c>
      <c r="I543" s="230"/>
      <c r="J543" s="262"/>
      <c r="K543" s="263"/>
      <c r="L543" s="264"/>
      <c r="M543" s="265"/>
      <c r="N543" s="266">
        <v>0</v>
      </c>
      <c r="O543" s="261"/>
      <c r="P543" s="266">
        <v>0</v>
      </c>
      <c r="Q543" s="266">
        <f t="shared" si="94"/>
        <v>0</v>
      </c>
      <c r="R543" s="267"/>
      <c r="S543" s="266">
        <f t="shared" si="95"/>
        <v>0</v>
      </c>
      <c r="T543" s="266">
        <f t="shared" si="96"/>
        <v>0</v>
      </c>
      <c r="U543" s="266">
        <f t="shared" si="97"/>
        <v>0</v>
      </c>
      <c r="V543" s="266">
        <v>0</v>
      </c>
    </row>
    <row r="544" spans="1:22" ht="27.95" hidden="1" customHeight="1">
      <c r="A544" s="260"/>
      <c r="B544" s="269"/>
      <c r="C544" s="260"/>
      <c r="D544" s="260"/>
      <c r="E544" s="260"/>
      <c r="F544" s="260"/>
      <c r="G544" s="260"/>
      <c r="H544" s="268" t="s">
        <v>1387</v>
      </c>
      <c r="I544" s="230"/>
      <c r="J544" s="262">
        <v>0</v>
      </c>
      <c r="K544" s="263" t="s">
        <v>1388</v>
      </c>
      <c r="L544" s="264">
        <v>75000</v>
      </c>
      <c r="M544" s="265">
        <f>+J544*L544</f>
        <v>0</v>
      </c>
      <c r="N544" s="266">
        <v>0</v>
      </c>
      <c r="O544" s="261"/>
      <c r="P544" s="266">
        <v>0</v>
      </c>
      <c r="Q544" s="266">
        <f t="shared" si="94"/>
        <v>0</v>
      </c>
      <c r="R544" s="267"/>
      <c r="S544" s="266">
        <f t="shared" si="95"/>
        <v>0</v>
      </c>
      <c r="T544" s="266">
        <f t="shared" si="96"/>
        <v>0</v>
      </c>
      <c r="U544" s="266">
        <f t="shared" si="97"/>
        <v>0</v>
      </c>
      <c r="V544" s="266">
        <v>0</v>
      </c>
    </row>
    <row r="545" spans="1:22" ht="27.95" hidden="1" customHeight="1">
      <c r="A545" s="260"/>
      <c r="B545" s="269"/>
      <c r="C545" s="260"/>
      <c r="D545" s="260"/>
      <c r="E545" s="260"/>
      <c r="F545" s="260"/>
      <c r="G545" s="260"/>
      <c r="H545" s="268" t="s">
        <v>1389</v>
      </c>
      <c r="I545" s="230"/>
      <c r="J545" s="262">
        <v>0</v>
      </c>
      <c r="K545" s="263" t="s">
        <v>1388</v>
      </c>
      <c r="L545" s="264">
        <v>85000</v>
      </c>
      <c r="M545" s="265">
        <f>+J545*L545</f>
        <v>0</v>
      </c>
      <c r="N545" s="266">
        <v>0</v>
      </c>
      <c r="O545" s="261"/>
      <c r="P545" s="266">
        <v>0</v>
      </c>
      <c r="Q545" s="266">
        <f t="shared" si="94"/>
        <v>0</v>
      </c>
      <c r="R545" s="267"/>
      <c r="S545" s="266">
        <f t="shared" si="95"/>
        <v>0</v>
      </c>
      <c r="T545" s="266">
        <f t="shared" si="96"/>
        <v>0</v>
      </c>
      <c r="U545" s="266">
        <f t="shared" si="97"/>
        <v>0</v>
      </c>
      <c r="V545" s="266">
        <v>0</v>
      </c>
    </row>
    <row r="546" spans="1:22" ht="27.95" hidden="1" customHeight="1">
      <c r="A546" s="260"/>
      <c r="B546" s="269"/>
      <c r="C546" s="260"/>
      <c r="D546" s="260"/>
      <c r="E546" s="260"/>
      <c r="F546" s="260"/>
      <c r="G546" s="260"/>
      <c r="H546" s="268" t="s">
        <v>1390</v>
      </c>
      <c r="I546" s="238"/>
      <c r="J546" s="262">
        <v>0</v>
      </c>
      <c r="K546" s="263" t="s">
        <v>1388</v>
      </c>
      <c r="L546" s="264">
        <v>75000</v>
      </c>
      <c r="M546" s="265">
        <f>+J546*L546</f>
        <v>0</v>
      </c>
      <c r="N546" s="266">
        <v>0</v>
      </c>
      <c r="O546" s="261"/>
      <c r="P546" s="266">
        <v>0</v>
      </c>
      <c r="Q546" s="266">
        <f t="shared" si="94"/>
        <v>0</v>
      </c>
      <c r="R546" s="267"/>
      <c r="S546" s="266">
        <f t="shared" si="95"/>
        <v>0</v>
      </c>
      <c r="T546" s="266">
        <f t="shared" si="96"/>
        <v>0</v>
      </c>
      <c r="U546" s="266">
        <f t="shared" si="97"/>
        <v>0</v>
      </c>
      <c r="V546" s="266">
        <v>0</v>
      </c>
    </row>
    <row r="547" spans="1:22" ht="27.95" hidden="1" customHeight="1">
      <c r="A547" s="229"/>
      <c r="B547" s="229"/>
      <c r="C547" s="229"/>
      <c r="D547" s="260"/>
      <c r="E547" s="260"/>
      <c r="F547" s="260"/>
      <c r="G547" s="260"/>
      <c r="H547" s="268" t="s">
        <v>1391</v>
      </c>
      <c r="I547" s="238"/>
      <c r="J547" s="262">
        <v>0</v>
      </c>
      <c r="K547" s="263" t="s">
        <v>1388</v>
      </c>
      <c r="L547" s="264">
        <v>85000</v>
      </c>
      <c r="M547" s="265">
        <f>+J547*L547</f>
        <v>0</v>
      </c>
      <c r="N547" s="266">
        <v>0</v>
      </c>
      <c r="O547" s="261"/>
      <c r="P547" s="266">
        <v>0</v>
      </c>
      <c r="Q547" s="266">
        <f t="shared" si="94"/>
        <v>0</v>
      </c>
      <c r="R547" s="267"/>
      <c r="S547" s="266">
        <f t="shared" si="95"/>
        <v>0</v>
      </c>
      <c r="T547" s="266">
        <f t="shared" si="96"/>
        <v>0</v>
      </c>
      <c r="U547" s="266">
        <f t="shared" si="97"/>
        <v>0</v>
      </c>
      <c r="V547" s="266">
        <v>0</v>
      </c>
    </row>
    <row r="548" spans="1:22" ht="27.95" hidden="1" customHeight="1">
      <c r="A548" s="229">
        <v>2</v>
      </c>
      <c r="B548" s="270" t="s">
        <v>995</v>
      </c>
      <c r="C548" s="252">
        <v>12</v>
      </c>
      <c r="D548" s="260">
        <v>5</v>
      </c>
      <c r="E548" s="260">
        <v>3</v>
      </c>
      <c r="F548" s="260">
        <v>5</v>
      </c>
      <c r="G548" s="269" t="s">
        <v>995</v>
      </c>
      <c r="H548" s="268" t="s">
        <v>1392</v>
      </c>
      <c r="I548" s="238"/>
      <c r="J548" s="262"/>
      <c r="K548" s="263"/>
      <c r="L548" s="264"/>
      <c r="M548" s="265"/>
      <c r="N548" s="266">
        <v>0</v>
      </c>
      <c r="O548" s="261"/>
      <c r="P548" s="266">
        <v>0</v>
      </c>
      <c r="Q548" s="266">
        <f t="shared" si="94"/>
        <v>0</v>
      </c>
      <c r="R548" s="267"/>
      <c r="S548" s="266">
        <f t="shared" si="95"/>
        <v>0</v>
      </c>
      <c r="T548" s="266">
        <f t="shared" si="96"/>
        <v>0</v>
      </c>
      <c r="U548" s="266">
        <f t="shared" si="97"/>
        <v>0</v>
      </c>
      <c r="V548" s="266">
        <v>0</v>
      </c>
    </row>
    <row r="549" spans="1:22" ht="27.95" hidden="1" customHeight="1">
      <c r="A549" s="252"/>
      <c r="B549" s="252"/>
      <c r="C549" s="252"/>
      <c r="D549" s="260"/>
      <c r="E549" s="260"/>
      <c r="F549" s="260"/>
      <c r="G549" s="260"/>
      <c r="H549" s="268" t="s">
        <v>1393</v>
      </c>
      <c r="I549" s="238"/>
      <c r="J549" s="262">
        <v>0</v>
      </c>
      <c r="K549" s="263" t="s">
        <v>1029</v>
      </c>
      <c r="L549" s="264">
        <v>64000000</v>
      </c>
      <c r="M549" s="265">
        <f>+J549*L549</f>
        <v>0</v>
      </c>
      <c r="N549" s="266">
        <v>0</v>
      </c>
      <c r="O549" s="261"/>
      <c r="P549" s="266">
        <v>0</v>
      </c>
      <c r="Q549" s="266">
        <f t="shared" si="94"/>
        <v>0</v>
      </c>
      <c r="R549" s="267"/>
      <c r="S549" s="266">
        <f t="shared" si="95"/>
        <v>0</v>
      </c>
      <c r="T549" s="266">
        <f t="shared" si="96"/>
        <v>0</v>
      </c>
      <c r="U549" s="266">
        <f t="shared" si="97"/>
        <v>0</v>
      </c>
      <c r="V549" s="266">
        <v>0</v>
      </c>
    </row>
    <row r="550" spans="1:22" ht="27.95" hidden="1" customHeight="1">
      <c r="A550" s="260"/>
      <c r="B550" s="260"/>
      <c r="C550" s="260"/>
      <c r="D550" s="260"/>
      <c r="E550" s="260"/>
      <c r="F550" s="260"/>
      <c r="G550" s="260"/>
      <c r="H550" s="268" t="s">
        <v>1394</v>
      </c>
      <c r="I550" s="238"/>
      <c r="J550" s="262">
        <v>0</v>
      </c>
      <c r="K550" s="263" t="s">
        <v>1029</v>
      </c>
      <c r="L550" s="264">
        <v>9341000</v>
      </c>
      <c r="M550" s="265">
        <f>+J550*L550</f>
        <v>0</v>
      </c>
      <c r="N550" s="266">
        <v>0</v>
      </c>
      <c r="O550" s="261"/>
      <c r="P550" s="266">
        <v>0</v>
      </c>
      <c r="Q550" s="266">
        <f t="shared" si="94"/>
        <v>0</v>
      </c>
      <c r="R550" s="267"/>
      <c r="S550" s="266">
        <f t="shared" si="95"/>
        <v>0</v>
      </c>
      <c r="T550" s="266">
        <f t="shared" si="96"/>
        <v>0</v>
      </c>
      <c r="U550" s="266">
        <f t="shared" si="97"/>
        <v>0</v>
      </c>
      <c r="V550" s="266">
        <v>0</v>
      </c>
    </row>
    <row r="551" spans="1:22" ht="27.95" hidden="1" customHeight="1">
      <c r="A551" s="229">
        <v>2</v>
      </c>
      <c r="B551" s="270" t="s">
        <v>995</v>
      </c>
      <c r="C551" s="252">
        <v>12</v>
      </c>
      <c r="D551" s="260">
        <v>5</v>
      </c>
      <c r="E551" s="260">
        <v>3</v>
      </c>
      <c r="F551" s="260">
        <v>5</v>
      </c>
      <c r="G551" s="269" t="s">
        <v>1002</v>
      </c>
      <c r="H551" s="268" t="s">
        <v>1395</v>
      </c>
      <c r="I551" s="238"/>
      <c r="J551" s="262"/>
      <c r="K551" s="263"/>
      <c r="L551" s="264"/>
      <c r="M551" s="265"/>
      <c r="N551" s="266">
        <v>0</v>
      </c>
      <c r="O551" s="261"/>
      <c r="P551" s="266">
        <v>0</v>
      </c>
      <c r="Q551" s="266">
        <f t="shared" si="94"/>
        <v>0</v>
      </c>
      <c r="R551" s="267"/>
      <c r="S551" s="266">
        <f t="shared" si="95"/>
        <v>0</v>
      </c>
      <c r="T551" s="266">
        <f t="shared" si="96"/>
        <v>0</v>
      </c>
      <c r="U551" s="266">
        <f t="shared" si="97"/>
        <v>0</v>
      </c>
      <c r="V551" s="266">
        <v>0</v>
      </c>
    </row>
    <row r="552" spans="1:22" ht="27.95" hidden="1" customHeight="1">
      <c r="A552" s="260"/>
      <c r="B552" s="260"/>
      <c r="C552" s="260"/>
      <c r="D552" s="260"/>
      <c r="E552" s="260"/>
      <c r="F552" s="260"/>
      <c r="G552" s="260"/>
      <c r="H552" s="268" t="s">
        <v>1396</v>
      </c>
      <c r="I552" s="238"/>
      <c r="J552" s="262">
        <v>0</v>
      </c>
      <c r="K552" s="263" t="s">
        <v>1060</v>
      </c>
      <c r="L552" s="264">
        <v>300000</v>
      </c>
      <c r="M552" s="265">
        <f>+J552*L552</f>
        <v>0</v>
      </c>
      <c r="N552" s="266">
        <v>0</v>
      </c>
      <c r="O552" s="261"/>
      <c r="P552" s="266">
        <v>0</v>
      </c>
      <c r="Q552" s="266">
        <f t="shared" si="94"/>
        <v>0</v>
      </c>
      <c r="R552" s="267"/>
      <c r="S552" s="266">
        <f t="shared" si="95"/>
        <v>0</v>
      </c>
      <c r="T552" s="266">
        <f t="shared" si="96"/>
        <v>0</v>
      </c>
      <c r="U552" s="266">
        <f t="shared" si="97"/>
        <v>0</v>
      </c>
      <c r="V552" s="266">
        <v>0</v>
      </c>
    </row>
    <row r="553" spans="1:22" ht="27.95" hidden="1" customHeight="1">
      <c r="A553" s="229"/>
      <c r="B553" s="229"/>
      <c r="C553" s="229"/>
      <c r="D553" s="260"/>
      <c r="E553" s="260"/>
      <c r="F553" s="260"/>
      <c r="G553" s="260"/>
      <c r="H553" s="268" t="s">
        <v>1397</v>
      </c>
      <c r="I553" s="238"/>
      <c r="J553" s="262">
        <v>0</v>
      </c>
      <c r="K553" s="263" t="s">
        <v>1029</v>
      </c>
      <c r="L553" s="264">
        <v>300000</v>
      </c>
      <c r="M553" s="265">
        <f>+J553*L553</f>
        <v>0</v>
      </c>
      <c r="N553" s="266">
        <v>0</v>
      </c>
      <c r="O553" s="261"/>
      <c r="P553" s="266">
        <v>0</v>
      </c>
      <c r="Q553" s="266">
        <f t="shared" si="94"/>
        <v>0</v>
      </c>
      <c r="R553" s="267"/>
      <c r="S553" s="266">
        <f t="shared" si="95"/>
        <v>0</v>
      </c>
      <c r="T553" s="266">
        <f t="shared" si="96"/>
        <v>0</v>
      </c>
      <c r="U553" s="266">
        <f t="shared" si="97"/>
        <v>0</v>
      </c>
      <c r="V553" s="266">
        <v>0</v>
      </c>
    </row>
    <row r="554" spans="1:22" ht="27.95" hidden="1" customHeight="1">
      <c r="A554" s="229">
        <v>2</v>
      </c>
      <c r="B554" s="270" t="s">
        <v>995</v>
      </c>
      <c r="C554" s="252">
        <v>12</v>
      </c>
      <c r="D554" s="260">
        <v>5</v>
      </c>
      <c r="E554" s="260">
        <v>3</v>
      </c>
      <c r="F554" s="260">
        <v>5</v>
      </c>
      <c r="G554" s="269" t="s">
        <v>1038</v>
      </c>
      <c r="H554" s="268" t="s">
        <v>1316</v>
      </c>
      <c r="I554" s="238"/>
      <c r="J554" s="262"/>
      <c r="K554" s="263"/>
      <c r="L554" s="264"/>
      <c r="M554" s="265"/>
      <c r="N554" s="266">
        <v>0</v>
      </c>
      <c r="O554" s="261"/>
      <c r="P554" s="266">
        <v>0</v>
      </c>
      <c r="Q554" s="266">
        <f t="shared" si="94"/>
        <v>0</v>
      </c>
      <c r="R554" s="267"/>
      <c r="S554" s="266">
        <f t="shared" si="95"/>
        <v>0</v>
      </c>
      <c r="T554" s="266">
        <f t="shared" si="96"/>
        <v>0</v>
      </c>
      <c r="U554" s="266">
        <f t="shared" si="97"/>
        <v>0</v>
      </c>
      <c r="V554" s="266">
        <v>0</v>
      </c>
    </row>
    <row r="555" spans="1:22" ht="27.95" hidden="1" customHeight="1">
      <c r="A555" s="260"/>
      <c r="B555" s="269"/>
      <c r="C555" s="260"/>
      <c r="D555" s="260"/>
      <c r="E555" s="260"/>
      <c r="F555" s="260"/>
      <c r="G555" s="260"/>
      <c r="H555" s="268" t="s">
        <v>1398</v>
      </c>
      <c r="I555" s="238"/>
      <c r="J555" s="262">
        <v>0</v>
      </c>
      <c r="K555" s="263" t="s">
        <v>1029</v>
      </c>
      <c r="L555" s="264">
        <v>200000</v>
      </c>
      <c r="M555" s="265">
        <f>+J555*L555</f>
        <v>0</v>
      </c>
      <c r="N555" s="266">
        <v>0</v>
      </c>
      <c r="O555" s="261"/>
      <c r="P555" s="266">
        <v>0</v>
      </c>
      <c r="Q555" s="234">
        <v>0</v>
      </c>
      <c r="R555" s="267"/>
      <c r="S555" s="234">
        <v>0</v>
      </c>
      <c r="T555" s="234">
        <f>SUM(T556:T559)</f>
        <v>0</v>
      </c>
      <c r="U555" s="234">
        <v>0</v>
      </c>
      <c r="V555" s="234">
        <f>SUM(V556:V559)</f>
        <v>0</v>
      </c>
    </row>
    <row r="556" spans="1:22" ht="27.95" hidden="1" customHeight="1">
      <c r="A556" s="252"/>
      <c r="B556" s="252"/>
      <c r="C556" s="252"/>
      <c r="D556" s="260"/>
      <c r="E556" s="260"/>
      <c r="F556" s="260"/>
      <c r="G556" s="260"/>
      <c r="H556" s="268" t="s">
        <v>1039</v>
      </c>
      <c r="I556" s="238"/>
      <c r="J556" s="262">
        <v>0</v>
      </c>
      <c r="K556" s="263" t="s">
        <v>1029</v>
      </c>
      <c r="L556" s="264">
        <v>50000</v>
      </c>
      <c r="M556" s="265">
        <f>+J556*L556</f>
        <v>0</v>
      </c>
      <c r="N556" s="266">
        <v>0</v>
      </c>
      <c r="O556" s="261"/>
      <c r="P556" s="266">
        <v>0</v>
      </c>
      <c r="Q556" s="266">
        <f t="shared" si="94"/>
        <v>0</v>
      </c>
      <c r="R556" s="267"/>
      <c r="S556" s="266">
        <f t="shared" si="95"/>
        <v>0</v>
      </c>
      <c r="T556" s="266">
        <f t="shared" si="96"/>
        <v>0</v>
      </c>
      <c r="U556" s="266">
        <f t="shared" si="97"/>
        <v>0</v>
      </c>
      <c r="V556" s="266">
        <v>0</v>
      </c>
    </row>
    <row r="557" spans="1:22" ht="27.95" customHeight="1">
      <c r="A557" s="229" t="s">
        <v>970</v>
      </c>
      <c r="B557" s="229" t="s">
        <v>995</v>
      </c>
      <c r="C557" s="270">
        <v>14</v>
      </c>
      <c r="D557" s="229"/>
      <c r="E557" s="229"/>
      <c r="F557" s="270"/>
      <c r="G557" s="229" t="s">
        <v>959</v>
      </c>
      <c r="H557" s="230" t="s">
        <v>1399</v>
      </c>
      <c r="I557" s="230" t="s">
        <v>1400</v>
      </c>
      <c r="J557" s="239"/>
      <c r="K557" s="240">
        <v>4</v>
      </c>
      <c r="L557" s="241" t="s">
        <v>1538</v>
      </c>
      <c r="M557" s="234">
        <f>M558+M589</f>
        <v>157736000</v>
      </c>
      <c r="N557" s="266"/>
      <c r="O557" s="255">
        <v>1</v>
      </c>
      <c r="P557" s="256" t="s">
        <v>1538</v>
      </c>
      <c r="Q557" s="234">
        <f>Q558+Q589</f>
        <v>157736000</v>
      </c>
      <c r="R557" s="236">
        <f>Q557/M557*100%</f>
        <v>1</v>
      </c>
      <c r="S557" s="234">
        <f>S558+S589</f>
        <v>18526000</v>
      </c>
      <c r="T557" s="234">
        <f>T558+T589</f>
        <v>0</v>
      </c>
      <c r="U557" s="234">
        <f>U558+U589</f>
        <v>139210000</v>
      </c>
      <c r="V557" s="234">
        <f>V558+V589</f>
        <v>0</v>
      </c>
    </row>
    <row r="558" spans="1:22" ht="27.95" hidden="1" customHeight="1">
      <c r="A558" s="229" t="s">
        <v>970</v>
      </c>
      <c r="B558" s="229" t="s">
        <v>995</v>
      </c>
      <c r="C558" s="270">
        <v>14</v>
      </c>
      <c r="D558" s="244" t="s">
        <v>363</v>
      </c>
      <c r="E558" s="244">
        <v>3</v>
      </c>
      <c r="F558" s="244" t="s">
        <v>959</v>
      </c>
      <c r="G558" s="244" t="s">
        <v>959</v>
      </c>
      <c r="H558" s="245" t="s">
        <v>141</v>
      </c>
      <c r="I558" s="238"/>
      <c r="J558" s="246"/>
      <c r="K558" s="247"/>
      <c r="L558" s="248"/>
      <c r="M558" s="249">
        <f>M559</f>
        <v>37736000</v>
      </c>
      <c r="N558" s="266"/>
      <c r="O558" s="261"/>
      <c r="P558" s="266"/>
      <c r="Q558" s="249">
        <f>Q559</f>
        <v>37736000</v>
      </c>
      <c r="R558" s="267" t="str">
        <f t="shared" si="92"/>
        <v/>
      </c>
      <c r="S558" s="249">
        <f>S559</f>
        <v>18526000</v>
      </c>
      <c r="T558" s="249">
        <f>T559</f>
        <v>0</v>
      </c>
      <c r="U558" s="249">
        <f>U559</f>
        <v>19210000</v>
      </c>
      <c r="V558" s="249">
        <f>V559</f>
        <v>0</v>
      </c>
    </row>
    <row r="559" spans="1:22" ht="27.95" hidden="1" customHeight="1">
      <c r="A559" s="229" t="s">
        <v>970</v>
      </c>
      <c r="B559" s="229" t="s">
        <v>995</v>
      </c>
      <c r="C559" s="270">
        <v>14</v>
      </c>
      <c r="D559" s="252">
        <v>5</v>
      </c>
      <c r="E559" s="252">
        <v>3</v>
      </c>
      <c r="F559" s="252">
        <v>5</v>
      </c>
      <c r="G559" s="252"/>
      <c r="H559" s="253" t="s">
        <v>1401</v>
      </c>
      <c r="I559" s="230"/>
      <c r="J559" s="254"/>
      <c r="K559" s="255"/>
      <c r="L559" s="256"/>
      <c r="M559" s="257">
        <f>SUM(M561:M588)</f>
        <v>37736000</v>
      </c>
      <c r="N559" s="266"/>
      <c r="O559" s="261"/>
      <c r="P559" s="266"/>
      <c r="Q559" s="257">
        <f>SUM(Q561:Q588)</f>
        <v>37736000</v>
      </c>
      <c r="R559" s="267" t="str">
        <f t="shared" si="92"/>
        <v/>
      </c>
      <c r="S559" s="257">
        <f>SUM(S561:S588)</f>
        <v>18526000</v>
      </c>
      <c r="T559" s="257">
        <f>SUM(T561:T588)</f>
        <v>0</v>
      </c>
      <c r="U559" s="257">
        <f>SUM(U561:U588)</f>
        <v>19210000</v>
      </c>
      <c r="V559" s="257">
        <f>SUM(V561:V588)</f>
        <v>0</v>
      </c>
    </row>
    <row r="560" spans="1:22" ht="27.95" hidden="1" customHeight="1">
      <c r="A560" s="229" t="s">
        <v>970</v>
      </c>
      <c r="B560" s="229" t="s">
        <v>995</v>
      </c>
      <c r="C560" s="270">
        <v>14</v>
      </c>
      <c r="D560" s="260">
        <v>5</v>
      </c>
      <c r="E560" s="260">
        <v>3</v>
      </c>
      <c r="F560" s="260">
        <v>5</v>
      </c>
      <c r="G560" s="269" t="s">
        <v>960</v>
      </c>
      <c r="H560" s="261" t="s">
        <v>1402</v>
      </c>
      <c r="I560" s="238"/>
      <c r="J560" s="262"/>
      <c r="K560" s="263"/>
      <c r="L560" s="264"/>
      <c r="M560" s="265"/>
      <c r="N560" s="266">
        <v>0</v>
      </c>
      <c r="O560" s="261"/>
      <c r="P560" s="266">
        <v>0</v>
      </c>
      <c r="Q560" s="234">
        <f>SUM(Q561:Q568)</f>
        <v>18835000</v>
      </c>
      <c r="R560" s="267" t="str">
        <f t="shared" si="92"/>
        <v/>
      </c>
      <c r="S560" s="234">
        <f>SUM(S561:S568)</f>
        <v>0</v>
      </c>
      <c r="T560" s="234">
        <f>SUM(T561:T568)</f>
        <v>0</v>
      </c>
      <c r="U560" s="234">
        <f>SUM(U561:U568)</f>
        <v>18835000</v>
      </c>
      <c r="V560" s="234">
        <f>SUM(V561:V568)</f>
        <v>0</v>
      </c>
    </row>
    <row r="561" spans="1:22" ht="27.95" hidden="1" customHeight="1">
      <c r="A561" s="244"/>
      <c r="B561" s="244"/>
      <c r="C561" s="244"/>
      <c r="D561" s="260"/>
      <c r="E561" s="260"/>
      <c r="F561" s="260"/>
      <c r="G561" s="260"/>
      <c r="H561" s="268" t="s">
        <v>1403</v>
      </c>
      <c r="I561" s="238"/>
      <c r="J561" s="262">
        <v>0</v>
      </c>
      <c r="K561" s="263" t="s">
        <v>967</v>
      </c>
      <c r="L561" s="264">
        <v>0</v>
      </c>
      <c r="M561" s="265">
        <f>+J561*L561</f>
        <v>0</v>
      </c>
      <c r="N561" s="266">
        <v>0</v>
      </c>
      <c r="O561" s="261"/>
      <c r="P561" s="266">
        <v>0</v>
      </c>
      <c r="Q561" s="266">
        <f t="shared" si="94"/>
        <v>0</v>
      </c>
      <c r="R561" s="267" t="e">
        <f t="shared" si="92"/>
        <v>#DIV/0!</v>
      </c>
      <c r="S561" s="266">
        <f t="shared" si="95"/>
        <v>0</v>
      </c>
      <c r="T561" s="266">
        <f t="shared" si="96"/>
        <v>0</v>
      </c>
      <c r="U561" s="266">
        <f t="shared" si="97"/>
        <v>0</v>
      </c>
      <c r="V561" s="266">
        <v>0</v>
      </c>
    </row>
    <row r="562" spans="1:22" ht="27.95" hidden="1" customHeight="1">
      <c r="A562" s="252"/>
      <c r="B562" s="252"/>
      <c r="C562" s="252"/>
      <c r="D562" s="260"/>
      <c r="E562" s="260"/>
      <c r="F562" s="260"/>
      <c r="G562" s="260"/>
      <c r="H562" s="268" t="s">
        <v>1404</v>
      </c>
      <c r="I562" s="238"/>
      <c r="J562" s="262">
        <v>1</v>
      </c>
      <c r="K562" s="263" t="s">
        <v>967</v>
      </c>
      <c r="L562" s="264">
        <v>850000</v>
      </c>
      <c r="M562" s="265">
        <f>+J562*L562</f>
        <v>850000</v>
      </c>
      <c r="N562" s="262">
        <v>1</v>
      </c>
      <c r="O562" s="263" t="s">
        <v>967</v>
      </c>
      <c r="P562" s="264">
        <v>850000</v>
      </c>
      <c r="Q562" s="266">
        <f t="shared" si="94"/>
        <v>850000</v>
      </c>
      <c r="R562" s="267">
        <f t="shared" si="92"/>
        <v>1</v>
      </c>
      <c r="S562" s="266">
        <f t="shared" si="95"/>
        <v>0</v>
      </c>
      <c r="T562" s="266">
        <f t="shared" si="96"/>
        <v>0</v>
      </c>
      <c r="U562" s="266">
        <f t="shared" si="97"/>
        <v>850000</v>
      </c>
      <c r="V562" s="266">
        <v>0</v>
      </c>
    </row>
    <row r="563" spans="1:22" ht="27.95" hidden="1" customHeight="1">
      <c r="A563" s="229" t="s">
        <v>970</v>
      </c>
      <c r="B563" s="229" t="s">
        <v>995</v>
      </c>
      <c r="C563" s="270">
        <v>14</v>
      </c>
      <c r="D563" s="260">
        <v>5</v>
      </c>
      <c r="E563" s="260">
        <v>3</v>
      </c>
      <c r="F563" s="260">
        <v>5</v>
      </c>
      <c r="G563" s="269" t="s">
        <v>963</v>
      </c>
      <c r="H563" s="261" t="s">
        <v>1405</v>
      </c>
      <c r="I563" s="230"/>
      <c r="J563" s="262"/>
      <c r="K563" s="263"/>
      <c r="L563" s="264"/>
      <c r="M563" s="265"/>
      <c r="N563" s="266">
        <v>0</v>
      </c>
      <c r="O563" s="261"/>
      <c r="P563" s="266">
        <v>0</v>
      </c>
      <c r="Q563" s="266">
        <f t="shared" si="94"/>
        <v>0</v>
      </c>
      <c r="R563" s="267" t="str">
        <f t="shared" si="92"/>
        <v/>
      </c>
      <c r="S563" s="266">
        <f t="shared" si="95"/>
        <v>0</v>
      </c>
      <c r="T563" s="266">
        <f t="shared" si="96"/>
        <v>0</v>
      </c>
      <c r="U563" s="266">
        <f t="shared" si="97"/>
        <v>0</v>
      </c>
      <c r="V563" s="266">
        <v>0</v>
      </c>
    </row>
    <row r="564" spans="1:22" ht="27.95" hidden="1" customHeight="1">
      <c r="A564" s="260"/>
      <c r="B564" s="260"/>
      <c r="C564" s="260"/>
      <c r="D564" s="260"/>
      <c r="E564" s="260"/>
      <c r="F564" s="260"/>
      <c r="G564" s="260"/>
      <c r="H564" s="268" t="s">
        <v>1406</v>
      </c>
      <c r="I564" s="230"/>
      <c r="J564" s="262">
        <v>0</v>
      </c>
      <c r="K564" s="263" t="s">
        <v>967</v>
      </c>
      <c r="L564" s="264">
        <v>0</v>
      </c>
      <c r="M564" s="265">
        <f t="shared" ref="M564:M571" si="98">+J564*L564</f>
        <v>0</v>
      </c>
      <c r="N564" s="266">
        <v>0</v>
      </c>
      <c r="O564" s="261"/>
      <c r="P564" s="266">
        <v>0</v>
      </c>
      <c r="Q564" s="266">
        <f t="shared" si="94"/>
        <v>0</v>
      </c>
      <c r="R564" s="267" t="e">
        <f t="shared" si="92"/>
        <v>#DIV/0!</v>
      </c>
      <c r="S564" s="266">
        <f t="shared" si="95"/>
        <v>0</v>
      </c>
      <c r="T564" s="266">
        <f t="shared" si="96"/>
        <v>0</v>
      </c>
      <c r="U564" s="266">
        <f t="shared" si="97"/>
        <v>0</v>
      </c>
      <c r="V564" s="266">
        <v>0</v>
      </c>
    </row>
    <row r="565" spans="1:22" ht="27.95" hidden="1" customHeight="1">
      <c r="A565" s="260"/>
      <c r="B565" s="260"/>
      <c r="C565" s="260"/>
      <c r="D565" s="260"/>
      <c r="E565" s="260"/>
      <c r="F565" s="260"/>
      <c r="G565" s="260"/>
      <c r="H565" s="268" t="s">
        <v>1407</v>
      </c>
      <c r="I565" s="230"/>
      <c r="J565" s="262">
        <v>0</v>
      </c>
      <c r="K565" s="263" t="s">
        <v>967</v>
      </c>
      <c r="L565" s="264">
        <v>0</v>
      </c>
      <c r="M565" s="265">
        <f t="shared" si="98"/>
        <v>0</v>
      </c>
      <c r="N565" s="266">
        <v>0</v>
      </c>
      <c r="O565" s="261"/>
      <c r="P565" s="266">
        <v>0</v>
      </c>
      <c r="Q565" s="266">
        <f t="shared" si="94"/>
        <v>0</v>
      </c>
      <c r="R565" s="267" t="e">
        <f t="shared" si="92"/>
        <v>#DIV/0!</v>
      </c>
      <c r="S565" s="266">
        <f t="shared" si="95"/>
        <v>0</v>
      </c>
      <c r="T565" s="266">
        <f t="shared" si="96"/>
        <v>0</v>
      </c>
      <c r="U565" s="266">
        <f t="shared" si="97"/>
        <v>0</v>
      </c>
      <c r="V565" s="266">
        <v>0</v>
      </c>
    </row>
    <row r="566" spans="1:22" ht="27.95" hidden="1" customHeight="1">
      <c r="A566" s="260"/>
      <c r="B566" s="260"/>
      <c r="C566" s="260"/>
      <c r="D566" s="260"/>
      <c r="E566" s="260"/>
      <c r="F566" s="260"/>
      <c r="G566" s="260"/>
      <c r="H566" s="268" t="s">
        <v>1408</v>
      </c>
      <c r="I566" s="230"/>
      <c r="J566" s="262">
        <v>97</v>
      </c>
      <c r="K566" s="263" t="s">
        <v>967</v>
      </c>
      <c r="L566" s="264">
        <v>75000</v>
      </c>
      <c r="M566" s="265">
        <f t="shared" si="98"/>
        <v>7275000</v>
      </c>
      <c r="N566" s="266">
        <v>97</v>
      </c>
      <c r="O566" s="261" t="s">
        <v>966</v>
      </c>
      <c r="P566" s="266">
        <v>75000</v>
      </c>
      <c r="Q566" s="266">
        <f t="shared" si="94"/>
        <v>7275000</v>
      </c>
      <c r="R566" s="267">
        <f t="shared" si="92"/>
        <v>1</v>
      </c>
      <c r="S566" s="266">
        <f t="shared" si="95"/>
        <v>0</v>
      </c>
      <c r="T566" s="266">
        <f t="shared" si="96"/>
        <v>0</v>
      </c>
      <c r="U566" s="266">
        <f t="shared" si="97"/>
        <v>7275000</v>
      </c>
      <c r="V566" s="266">
        <v>0</v>
      </c>
    </row>
    <row r="567" spans="1:22" ht="27.95" hidden="1" customHeight="1">
      <c r="A567" s="260"/>
      <c r="B567" s="260"/>
      <c r="C567" s="260"/>
      <c r="D567" s="260"/>
      <c r="E567" s="260"/>
      <c r="F567" s="260"/>
      <c r="G567" s="260"/>
      <c r="H567" s="268" t="s">
        <v>1409</v>
      </c>
      <c r="I567" s="230"/>
      <c r="J567" s="262">
        <v>126</v>
      </c>
      <c r="K567" s="263" t="s">
        <v>967</v>
      </c>
      <c r="L567" s="264">
        <v>85000</v>
      </c>
      <c r="M567" s="265">
        <f t="shared" si="98"/>
        <v>10710000</v>
      </c>
      <c r="N567" s="266">
        <v>126</v>
      </c>
      <c r="O567" s="261" t="s">
        <v>966</v>
      </c>
      <c r="P567" s="266">
        <v>85000</v>
      </c>
      <c r="Q567" s="266">
        <f t="shared" si="94"/>
        <v>10710000</v>
      </c>
      <c r="R567" s="267">
        <f t="shared" si="92"/>
        <v>1</v>
      </c>
      <c r="S567" s="266">
        <f t="shared" si="95"/>
        <v>0</v>
      </c>
      <c r="T567" s="266">
        <f t="shared" si="96"/>
        <v>0</v>
      </c>
      <c r="U567" s="266">
        <f t="shared" si="97"/>
        <v>10710000</v>
      </c>
      <c r="V567" s="266">
        <v>0</v>
      </c>
    </row>
    <row r="568" spans="1:22" ht="27.95" hidden="1" customHeight="1">
      <c r="A568" s="260"/>
      <c r="B568" s="260"/>
      <c r="C568" s="260"/>
      <c r="D568" s="260"/>
      <c r="E568" s="260"/>
      <c r="F568" s="260"/>
      <c r="G568" s="260"/>
      <c r="H568" s="268" t="s">
        <v>1410</v>
      </c>
      <c r="I568" s="230"/>
      <c r="J568" s="262">
        <v>0</v>
      </c>
      <c r="K568" s="263" t="s">
        <v>967</v>
      </c>
      <c r="L568" s="264">
        <v>0</v>
      </c>
      <c r="M568" s="265">
        <f t="shared" si="98"/>
        <v>0</v>
      </c>
      <c r="N568" s="266">
        <v>0</v>
      </c>
      <c r="O568" s="261"/>
      <c r="P568" s="266">
        <v>0</v>
      </c>
      <c r="Q568" s="266">
        <f t="shared" si="94"/>
        <v>0</v>
      </c>
      <c r="R568" s="267" t="e">
        <f t="shared" si="92"/>
        <v>#DIV/0!</v>
      </c>
      <c r="S568" s="266">
        <f t="shared" si="95"/>
        <v>0</v>
      </c>
      <c r="T568" s="266">
        <f t="shared" si="96"/>
        <v>0</v>
      </c>
      <c r="U568" s="266">
        <f t="shared" si="97"/>
        <v>0</v>
      </c>
      <c r="V568" s="266">
        <v>0</v>
      </c>
    </row>
    <row r="569" spans="1:22" ht="27.95" hidden="1" customHeight="1">
      <c r="A569" s="229"/>
      <c r="B569" s="270"/>
      <c r="C569" s="229"/>
      <c r="D569" s="260"/>
      <c r="E569" s="260"/>
      <c r="F569" s="260"/>
      <c r="G569" s="260"/>
      <c r="H569" s="268" t="s">
        <v>1411</v>
      </c>
      <c r="I569" s="230"/>
      <c r="J569" s="262">
        <v>0</v>
      </c>
      <c r="K569" s="263" t="s">
        <v>967</v>
      </c>
      <c r="L569" s="264">
        <v>0</v>
      </c>
      <c r="M569" s="265">
        <f t="shared" si="98"/>
        <v>0</v>
      </c>
      <c r="N569" s="266">
        <v>0</v>
      </c>
      <c r="O569" s="261"/>
      <c r="P569" s="266">
        <v>0</v>
      </c>
      <c r="Q569" s="234">
        <f>SUM(Q570:Q573)</f>
        <v>0</v>
      </c>
      <c r="R569" s="267" t="e">
        <f t="shared" si="92"/>
        <v>#DIV/0!</v>
      </c>
      <c r="S569" s="234">
        <f>SUM(S570:S573)</f>
        <v>0</v>
      </c>
      <c r="T569" s="234">
        <f>SUM(T570:T573)</f>
        <v>0</v>
      </c>
      <c r="U569" s="234">
        <f>SUM(U570:U573)</f>
        <v>0</v>
      </c>
      <c r="V569" s="234">
        <f>SUM(V570:V573)</f>
        <v>0</v>
      </c>
    </row>
    <row r="570" spans="1:22" ht="27.95" hidden="1" customHeight="1">
      <c r="A570" s="260"/>
      <c r="B570" s="260"/>
      <c r="C570" s="260"/>
      <c r="D570" s="260"/>
      <c r="E570" s="260"/>
      <c r="F570" s="260"/>
      <c r="G570" s="260"/>
      <c r="H570" s="268" t="s">
        <v>1412</v>
      </c>
      <c r="I570" s="230"/>
      <c r="J570" s="262">
        <v>0</v>
      </c>
      <c r="K570" s="263" t="s">
        <v>967</v>
      </c>
      <c r="L570" s="264">
        <v>0</v>
      </c>
      <c r="M570" s="265">
        <f t="shared" si="98"/>
        <v>0</v>
      </c>
      <c r="N570" s="266">
        <v>0</v>
      </c>
      <c r="O570" s="261"/>
      <c r="P570" s="266">
        <v>0</v>
      </c>
      <c r="Q570" s="266">
        <f t="shared" si="94"/>
        <v>0</v>
      </c>
      <c r="R570" s="267" t="e">
        <f t="shared" si="92"/>
        <v>#DIV/0!</v>
      </c>
      <c r="S570" s="266">
        <f t="shared" si="95"/>
        <v>0</v>
      </c>
      <c r="T570" s="266">
        <f t="shared" si="96"/>
        <v>0</v>
      </c>
      <c r="U570" s="266">
        <f t="shared" si="97"/>
        <v>0</v>
      </c>
      <c r="V570" s="266">
        <v>0</v>
      </c>
    </row>
    <row r="571" spans="1:22" ht="27.95" hidden="1" customHeight="1">
      <c r="A571" s="244"/>
      <c r="B571" s="244"/>
      <c r="C571" s="244"/>
      <c r="D571" s="260"/>
      <c r="E571" s="260"/>
      <c r="F571" s="260"/>
      <c r="G571" s="260"/>
      <c r="H571" s="268" t="s">
        <v>1413</v>
      </c>
      <c r="I571" s="230"/>
      <c r="J571" s="262">
        <v>0</v>
      </c>
      <c r="K571" s="263" t="s">
        <v>967</v>
      </c>
      <c r="L571" s="264">
        <v>0</v>
      </c>
      <c r="M571" s="265">
        <f t="shared" si="98"/>
        <v>0</v>
      </c>
      <c r="N571" s="266">
        <v>0</v>
      </c>
      <c r="O571" s="261"/>
      <c r="P571" s="266">
        <v>0</v>
      </c>
      <c r="Q571" s="266">
        <f t="shared" si="94"/>
        <v>0</v>
      </c>
      <c r="R571" s="267" t="e">
        <f t="shared" si="92"/>
        <v>#DIV/0!</v>
      </c>
      <c r="S571" s="266">
        <f t="shared" si="95"/>
        <v>0</v>
      </c>
      <c r="T571" s="266">
        <f t="shared" si="96"/>
        <v>0</v>
      </c>
      <c r="U571" s="266">
        <f t="shared" si="97"/>
        <v>0</v>
      </c>
      <c r="V571" s="266">
        <v>0</v>
      </c>
    </row>
    <row r="572" spans="1:22" ht="27.95" hidden="1" customHeight="1">
      <c r="A572" s="229" t="s">
        <v>970</v>
      </c>
      <c r="B572" s="229" t="s">
        <v>995</v>
      </c>
      <c r="C572" s="270">
        <v>14</v>
      </c>
      <c r="D572" s="260">
        <v>5</v>
      </c>
      <c r="E572" s="260">
        <v>3</v>
      </c>
      <c r="F572" s="260">
        <v>5</v>
      </c>
      <c r="G572" s="269" t="s">
        <v>995</v>
      </c>
      <c r="H572" s="261" t="s">
        <v>1414</v>
      </c>
      <c r="I572" s="230"/>
      <c r="J572" s="262"/>
      <c r="K572" s="263"/>
      <c r="L572" s="264"/>
      <c r="M572" s="265"/>
      <c r="N572" s="266">
        <v>0</v>
      </c>
      <c r="O572" s="261"/>
      <c r="P572" s="266">
        <v>0</v>
      </c>
      <c r="Q572" s="266">
        <f t="shared" si="94"/>
        <v>0</v>
      </c>
      <c r="R572" s="267" t="str">
        <f t="shared" si="92"/>
        <v/>
      </c>
      <c r="S572" s="266">
        <f t="shared" si="95"/>
        <v>0</v>
      </c>
      <c r="T572" s="266">
        <f t="shared" si="96"/>
        <v>0</v>
      </c>
      <c r="U572" s="266">
        <f t="shared" si="97"/>
        <v>0</v>
      </c>
      <c r="V572" s="266">
        <v>0</v>
      </c>
    </row>
    <row r="573" spans="1:22" ht="27.95" hidden="1" customHeight="1">
      <c r="A573" s="260"/>
      <c r="B573" s="260"/>
      <c r="C573" s="260"/>
      <c r="D573" s="260"/>
      <c r="E573" s="260"/>
      <c r="F573" s="260"/>
      <c r="G573" s="269"/>
      <c r="H573" s="268" t="s">
        <v>1415</v>
      </c>
      <c r="I573" s="230"/>
      <c r="J573" s="262">
        <v>0</v>
      </c>
      <c r="K573" s="263" t="s">
        <v>1103</v>
      </c>
      <c r="L573" s="264">
        <v>0</v>
      </c>
      <c r="M573" s="265">
        <f>+J573*L573</f>
        <v>0</v>
      </c>
      <c r="N573" s="266">
        <v>0</v>
      </c>
      <c r="O573" s="261"/>
      <c r="P573" s="266">
        <v>0</v>
      </c>
      <c r="Q573" s="266">
        <f t="shared" si="94"/>
        <v>0</v>
      </c>
      <c r="R573" s="267" t="e">
        <f t="shared" si="92"/>
        <v>#DIV/0!</v>
      </c>
      <c r="S573" s="266">
        <f t="shared" si="95"/>
        <v>0</v>
      </c>
      <c r="T573" s="266">
        <f t="shared" si="96"/>
        <v>0</v>
      </c>
      <c r="U573" s="266">
        <f t="shared" si="97"/>
        <v>0</v>
      </c>
      <c r="V573" s="266">
        <v>0</v>
      </c>
    </row>
    <row r="574" spans="1:22" ht="27.95" hidden="1" customHeight="1">
      <c r="A574" s="229"/>
      <c r="B574" s="229"/>
      <c r="C574" s="229"/>
      <c r="D574" s="260"/>
      <c r="E574" s="260"/>
      <c r="F574" s="260"/>
      <c r="G574" s="269"/>
      <c r="H574" s="268" t="s">
        <v>1416</v>
      </c>
      <c r="I574" s="230"/>
      <c r="J574" s="262">
        <v>1</v>
      </c>
      <c r="K574" s="263" t="s">
        <v>1103</v>
      </c>
      <c r="L574" s="264">
        <v>18526000</v>
      </c>
      <c r="M574" s="265">
        <f>+J574*L574</f>
        <v>18526000</v>
      </c>
      <c r="N574" s="266">
        <v>1</v>
      </c>
      <c r="O574" s="261" t="s">
        <v>1034</v>
      </c>
      <c r="P574" s="266">
        <f>450000+17726000+350000</f>
        <v>18526000</v>
      </c>
      <c r="Q574" s="234">
        <f>P574</f>
        <v>18526000</v>
      </c>
      <c r="R574" s="267">
        <f t="shared" si="92"/>
        <v>1</v>
      </c>
      <c r="S574" s="234">
        <v>18526000</v>
      </c>
      <c r="T574" s="234">
        <f>T575+T582</f>
        <v>0</v>
      </c>
      <c r="U574" s="234">
        <f>U575+U582</f>
        <v>0</v>
      </c>
      <c r="V574" s="234">
        <f>V575+V582</f>
        <v>0</v>
      </c>
    </row>
    <row r="575" spans="1:22" ht="27.95" hidden="1" customHeight="1">
      <c r="A575" s="260"/>
      <c r="B575" s="260"/>
      <c r="C575" s="260"/>
      <c r="D575" s="260"/>
      <c r="E575" s="260"/>
      <c r="F575" s="260"/>
      <c r="G575" s="269"/>
      <c r="H575" s="268" t="s">
        <v>1417</v>
      </c>
      <c r="I575" s="230"/>
      <c r="J575" s="262">
        <v>0</v>
      </c>
      <c r="K575" s="263" t="s">
        <v>1103</v>
      </c>
      <c r="L575" s="264">
        <v>0</v>
      </c>
      <c r="M575" s="265">
        <f t="shared" ref="M575:M588" si="99">+J575*L575</f>
        <v>0</v>
      </c>
      <c r="N575" s="266">
        <v>0</v>
      </c>
      <c r="O575" s="261"/>
      <c r="P575" s="266">
        <v>0</v>
      </c>
      <c r="Q575" s="249">
        <f>Q576</f>
        <v>0</v>
      </c>
      <c r="R575" s="267" t="e">
        <f t="shared" si="92"/>
        <v>#DIV/0!</v>
      </c>
      <c r="S575" s="249">
        <f>S576</f>
        <v>0</v>
      </c>
      <c r="T575" s="249">
        <f>T576</f>
        <v>0</v>
      </c>
      <c r="U575" s="249">
        <f>U576</f>
        <v>0</v>
      </c>
      <c r="V575" s="249">
        <f>V576</f>
        <v>0</v>
      </c>
    </row>
    <row r="576" spans="1:22" ht="27.95" hidden="1" customHeight="1">
      <c r="A576" s="260"/>
      <c r="B576" s="260"/>
      <c r="C576" s="260"/>
      <c r="D576" s="260"/>
      <c r="E576" s="260"/>
      <c r="F576" s="260"/>
      <c r="G576" s="269"/>
      <c r="H576" s="268" t="s">
        <v>1418</v>
      </c>
      <c r="I576" s="230"/>
      <c r="J576" s="262">
        <v>0</v>
      </c>
      <c r="K576" s="263" t="s">
        <v>1103</v>
      </c>
      <c r="L576" s="264">
        <v>0</v>
      </c>
      <c r="M576" s="265">
        <f t="shared" si="99"/>
        <v>0</v>
      </c>
      <c r="N576" s="266">
        <v>0</v>
      </c>
      <c r="O576" s="261"/>
      <c r="P576" s="266">
        <v>0</v>
      </c>
      <c r="Q576" s="257">
        <f>SUM(Q578:Q581)</f>
        <v>0</v>
      </c>
      <c r="R576" s="267" t="e">
        <f t="shared" si="92"/>
        <v>#DIV/0!</v>
      </c>
      <c r="S576" s="257">
        <f>SUM(S578:S581)</f>
        <v>0</v>
      </c>
      <c r="T576" s="257">
        <f>SUM(T578:T581)</f>
        <v>0</v>
      </c>
      <c r="U576" s="257">
        <f>SUM(U578:U581)</f>
        <v>0</v>
      </c>
      <c r="V576" s="257">
        <f>SUM(V578:V581)</f>
        <v>0</v>
      </c>
    </row>
    <row r="577" spans="1:22" ht="27.95" hidden="1" customHeight="1">
      <c r="A577" s="260" t="s">
        <v>970</v>
      </c>
      <c r="B577" s="260" t="s">
        <v>995</v>
      </c>
      <c r="C577" s="260">
        <v>14</v>
      </c>
      <c r="D577" s="260">
        <v>5</v>
      </c>
      <c r="E577" s="260">
        <v>3</v>
      </c>
      <c r="F577" s="260">
        <v>5</v>
      </c>
      <c r="G577" s="269" t="s">
        <v>1002</v>
      </c>
      <c r="H577" s="268" t="s">
        <v>1395</v>
      </c>
      <c r="I577" s="230"/>
      <c r="J577" s="262"/>
      <c r="K577" s="263"/>
      <c r="L577" s="264"/>
      <c r="M577" s="265"/>
      <c r="N577" s="266">
        <v>0</v>
      </c>
      <c r="O577" s="261"/>
      <c r="P577" s="266">
        <v>0</v>
      </c>
      <c r="Q577" s="266">
        <f t="shared" si="94"/>
        <v>0</v>
      </c>
      <c r="R577" s="267" t="str">
        <f t="shared" si="92"/>
        <v/>
      </c>
      <c r="S577" s="266">
        <f t="shared" si="95"/>
        <v>0</v>
      </c>
      <c r="T577" s="266">
        <f t="shared" si="96"/>
        <v>0</v>
      </c>
      <c r="U577" s="266">
        <f t="shared" si="97"/>
        <v>0</v>
      </c>
      <c r="V577" s="266">
        <v>0</v>
      </c>
    </row>
    <row r="578" spans="1:22" ht="27.95" hidden="1" customHeight="1">
      <c r="A578" s="260"/>
      <c r="B578" s="260"/>
      <c r="C578" s="260"/>
      <c r="D578" s="260"/>
      <c r="E578" s="260"/>
      <c r="F578" s="260"/>
      <c r="G578" s="269"/>
      <c r="H578" s="268" t="s">
        <v>1419</v>
      </c>
      <c r="I578" s="230"/>
      <c r="J578" s="262">
        <v>0</v>
      </c>
      <c r="K578" s="263" t="s">
        <v>1420</v>
      </c>
      <c r="L578" s="264">
        <v>0</v>
      </c>
      <c r="M578" s="265">
        <f t="shared" si="99"/>
        <v>0</v>
      </c>
      <c r="N578" s="266">
        <v>0</v>
      </c>
      <c r="O578" s="261"/>
      <c r="P578" s="266">
        <v>0</v>
      </c>
      <c r="Q578" s="266">
        <f t="shared" si="94"/>
        <v>0</v>
      </c>
      <c r="R578" s="267" t="e">
        <f t="shared" si="92"/>
        <v>#DIV/0!</v>
      </c>
      <c r="S578" s="266">
        <f t="shared" si="95"/>
        <v>0</v>
      </c>
      <c r="T578" s="266">
        <f t="shared" si="96"/>
        <v>0</v>
      </c>
      <c r="U578" s="266">
        <f t="shared" si="97"/>
        <v>0</v>
      </c>
      <c r="V578" s="266">
        <v>0</v>
      </c>
    </row>
    <row r="579" spans="1:22" ht="27.95" hidden="1" customHeight="1">
      <c r="A579" s="260"/>
      <c r="B579" s="260"/>
      <c r="C579" s="260"/>
      <c r="D579" s="260"/>
      <c r="E579" s="260"/>
      <c r="F579" s="260"/>
      <c r="G579" s="269"/>
      <c r="H579" s="268" t="s">
        <v>1421</v>
      </c>
      <c r="I579" s="230"/>
      <c r="J579" s="262">
        <v>0</v>
      </c>
      <c r="K579" s="263" t="s">
        <v>1029</v>
      </c>
      <c r="L579" s="264">
        <v>0</v>
      </c>
      <c r="M579" s="265">
        <f t="shared" si="99"/>
        <v>0</v>
      </c>
      <c r="N579" s="266">
        <v>0</v>
      </c>
      <c r="O579" s="261"/>
      <c r="P579" s="266">
        <v>0</v>
      </c>
      <c r="Q579" s="266">
        <f t="shared" si="94"/>
        <v>0</v>
      </c>
      <c r="R579" s="267" t="e">
        <f t="shared" si="92"/>
        <v>#DIV/0!</v>
      </c>
      <c r="S579" s="266">
        <f t="shared" si="95"/>
        <v>0</v>
      </c>
      <c r="T579" s="266">
        <f t="shared" si="96"/>
        <v>0</v>
      </c>
      <c r="U579" s="266">
        <f t="shared" si="97"/>
        <v>0</v>
      </c>
      <c r="V579" s="266">
        <v>0</v>
      </c>
    </row>
    <row r="580" spans="1:22" ht="27.95" hidden="1" customHeight="1">
      <c r="A580" s="260"/>
      <c r="B580" s="260"/>
      <c r="C580" s="260"/>
      <c r="D580" s="260"/>
      <c r="E580" s="260"/>
      <c r="F580" s="260"/>
      <c r="G580" s="269"/>
      <c r="H580" s="268" t="s">
        <v>1422</v>
      </c>
      <c r="I580" s="230"/>
      <c r="J580" s="262">
        <v>0</v>
      </c>
      <c r="K580" s="263" t="s">
        <v>1420</v>
      </c>
      <c r="L580" s="264">
        <v>0</v>
      </c>
      <c r="M580" s="265">
        <f t="shared" si="99"/>
        <v>0</v>
      </c>
      <c r="N580" s="266">
        <v>0</v>
      </c>
      <c r="O580" s="261"/>
      <c r="P580" s="266">
        <v>0</v>
      </c>
      <c r="Q580" s="266">
        <f t="shared" si="94"/>
        <v>0</v>
      </c>
      <c r="R580" s="267" t="e">
        <f t="shared" si="92"/>
        <v>#DIV/0!</v>
      </c>
      <c r="S580" s="266">
        <f t="shared" si="95"/>
        <v>0</v>
      </c>
      <c r="T580" s="266">
        <f t="shared" si="96"/>
        <v>0</v>
      </c>
      <c r="U580" s="266">
        <f t="shared" si="97"/>
        <v>0</v>
      </c>
      <c r="V580" s="266">
        <v>0</v>
      </c>
    </row>
    <row r="581" spans="1:22" ht="27.95" hidden="1" customHeight="1">
      <c r="A581" s="260"/>
      <c r="B581" s="260"/>
      <c r="C581" s="260"/>
      <c r="D581" s="260"/>
      <c r="E581" s="260"/>
      <c r="F581" s="260"/>
      <c r="G581" s="269"/>
      <c r="H581" s="268" t="s">
        <v>1423</v>
      </c>
      <c r="I581" s="230"/>
      <c r="J581" s="262">
        <v>0</v>
      </c>
      <c r="K581" s="263" t="s">
        <v>1029</v>
      </c>
      <c r="L581" s="264">
        <v>0</v>
      </c>
      <c r="M581" s="265">
        <f t="shared" si="99"/>
        <v>0</v>
      </c>
      <c r="N581" s="266">
        <v>0</v>
      </c>
      <c r="O581" s="261"/>
      <c r="P581" s="266">
        <v>0</v>
      </c>
      <c r="Q581" s="266">
        <f t="shared" si="94"/>
        <v>0</v>
      </c>
      <c r="R581" s="267" t="e">
        <f t="shared" si="92"/>
        <v>#DIV/0!</v>
      </c>
      <c r="S581" s="266">
        <f t="shared" si="95"/>
        <v>0</v>
      </c>
      <c r="T581" s="266">
        <f t="shared" si="96"/>
        <v>0</v>
      </c>
      <c r="U581" s="266">
        <f t="shared" si="97"/>
        <v>0</v>
      </c>
      <c r="V581" s="266">
        <v>0</v>
      </c>
    </row>
    <row r="582" spans="1:22" ht="27.95" hidden="1" customHeight="1">
      <c r="A582" s="260" t="s">
        <v>970</v>
      </c>
      <c r="B582" s="260" t="s">
        <v>995</v>
      </c>
      <c r="C582" s="260">
        <v>14</v>
      </c>
      <c r="D582" s="260">
        <v>5</v>
      </c>
      <c r="E582" s="260">
        <v>3</v>
      </c>
      <c r="F582" s="260">
        <v>5</v>
      </c>
      <c r="G582" s="269" t="s">
        <v>1038</v>
      </c>
      <c r="H582" s="261" t="s">
        <v>1424</v>
      </c>
      <c r="I582" s="238"/>
      <c r="J582" s="262"/>
      <c r="K582" s="263"/>
      <c r="L582" s="264"/>
      <c r="M582" s="265"/>
      <c r="N582" s="266">
        <v>0</v>
      </c>
      <c r="O582" s="261"/>
      <c r="P582" s="266">
        <v>0</v>
      </c>
      <c r="Q582" s="266">
        <f t="shared" si="94"/>
        <v>0</v>
      </c>
      <c r="R582" s="267" t="str">
        <f t="shared" si="92"/>
        <v/>
      </c>
      <c r="S582" s="266">
        <f t="shared" si="95"/>
        <v>0</v>
      </c>
      <c r="T582" s="266">
        <f t="shared" si="96"/>
        <v>0</v>
      </c>
      <c r="U582" s="266">
        <f t="shared" si="97"/>
        <v>0</v>
      </c>
      <c r="V582" s="266">
        <v>0</v>
      </c>
    </row>
    <row r="583" spans="1:22" ht="27.95" hidden="1" customHeight="1">
      <c r="A583" s="260"/>
      <c r="B583" s="260"/>
      <c r="C583" s="260"/>
      <c r="D583" s="260"/>
      <c r="E583" s="260"/>
      <c r="F583" s="260"/>
      <c r="G583" s="269"/>
      <c r="H583" s="268" t="s">
        <v>1425</v>
      </c>
      <c r="I583" s="238"/>
      <c r="J583" s="262">
        <v>0</v>
      </c>
      <c r="K583" s="263" t="s">
        <v>1029</v>
      </c>
      <c r="L583" s="264">
        <v>0</v>
      </c>
      <c r="M583" s="265">
        <f t="shared" si="99"/>
        <v>0</v>
      </c>
      <c r="N583" s="266">
        <v>0</v>
      </c>
      <c r="O583" s="261"/>
      <c r="P583" s="266">
        <v>0</v>
      </c>
      <c r="Q583" s="257">
        <v>0</v>
      </c>
      <c r="R583" s="267" t="e">
        <f t="shared" si="92"/>
        <v>#DIV/0!</v>
      </c>
      <c r="S583" s="257">
        <v>0</v>
      </c>
      <c r="T583" s="257">
        <f>SUM(T584:T602)</f>
        <v>0</v>
      </c>
      <c r="U583" s="257">
        <v>0</v>
      </c>
      <c r="V583" s="257">
        <f>SUM(V584:V602)</f>
        <v>0</v>
      </c>
    </row>
    <row r="584" spans="1:22" ht="27.95" hidden="1" customHeight="1">
      <c r="A584" s="260"/>
      <c r="B584" s="260"/>
      <c r="C584" s="260"/>
      <c r="D584" s="260"/>
      <c r="E584" s="260"/>
      <c r="F584" s="260"/>
      <c r="G584" s="269"/>
      <c r="H584" s="268" t="s">
        <v>1426</v>
      </c>
      <c r="I584" s="238"/>
      <c r="J584" s="262">
        <v>1</v>
      </c>
      <c r="K584" s="263" t="s">
        <v>1029</v>
      </c>
      <c r="L584" s="264">
        <v>75000</v>
      </c>
      <c r="M584" s="265">
        <f>+J584*L584</f>
        <v>75000</v>
      </c>
      <c r="N584" s="262">
        <v>1</v>
      </c>
      <c r="O584" s="263" t="s">
        <v>1029</v>
      </c>
      <c r="P584" s="264">
        <v>75000</v>
      </c>
      <c r="Q584" s="266">
        <f t="shared" si="94"/>
        <v>75000</v>
      </c>
      <c r="R584" s="267">
        <f t="shared" si="92"/>
        <v>1</v>
      </c>
      <c r="S584" s="266">
        <f t="shared" si="95"/>
        <v>0</v>
      </c>
      <c r="T584" s="266">
        <f t="shared" si="96"/>
        <v>0</v>
      </c>
      <c r="U584" s="266">
        <f t="shared" si="97"/>
        <v>75000</v>
      </c>
      <c r="V584" s="266">
        <v>0</v>
      </c>
    </row>
    <row r="585" spans="1:22" ht="27.95" hidden="1" customHeight="1">
      <c r="A585" s="260"/>
      <c r="B585" s="260"/>
      <c r="C585" s="260"/>
      <c r="D585" s="260"/>
      <c r="E585" s="260"/>
      <c r="F585" s="260"/>
      <c r="G585" s="260"/>
      <c r="H585" s="268" t="s">
        <v>1427</v>
      </c>
      <c r="I585" s="238"/>
      <c r="J585" s="262">
        <v>0</v>
      </c>
      <c r="K585" s="263" t="s">
        <v>1029</v>
      </c>
      <c r="L585" s="264">
        <v>0</v>
      </c>
      <c r="M585" s="265">
        <f t="shared" si="99"/>
        <v>0</v>
      </c>
      <c r="N585" s="266">
        <v>0</v>
      </c>
      <c r="O585" s="261"/>
      <c r="P585" s="266">
        <v>0</v>
      </c>
      <c r="Q585" s="266">
        <f t="shared" si="94"/>
        <v>0</v>
      </c>
      <c r="R585" s="267" t="e">
        <f t="shared" si="92"/>
        <v>#DIV/0!</v>
      </c>
      <c r="S585" s="266">
        <f t="shared" si="95"/>
        <v>0</v>
      </c>
      <c r="T585" s="266">
        <f t="shared" si="96"/>
        <v>0</v>
      </c>
      <c r="U585" s="266">
        <f t="shared" si="97"/>
        <v>0</v>
      </c>
      <c r="V585" s="266">
        <v>0</v>
      </c>
    </row>
    <row r="586" spans="1:22" ht="27.95" hidden="1" customHeight="1">
      <c r="A586" s="252"/>
      <c r="B586" s="252"/>
      <c r="C586" s="252"/>
      <c r="D586" s="260"/>
      <c r="E586" s="260"/>
      <c r="F586" s="260"/>
      <c r="G586" s="260"/>
      <c r="H586" s="268" t="s">
        <v>1428</v>
      </c>
      <c r="I586" s="238"/>
      <c r="J586" s="262">
        <v>1</v>
      </c>
      <c r="K586" s="263" t="s">
        <v>1029</v>
      </c>
      <c r="L586" s="264">
        <v>100000</v>
      </c>
      <c r="M586" s="265">
        <f>+J586*L586</f>
        <v>100000</v>
      </c>
      <c r="N586" s="262">
        <v>1</v>
      </c>
      <c r="O586" s="263" t="s">
        <v>1029</v>
      </c>
      <c r="P586" s="264">
        <v>100000</v>
      </c>
      <c r="Q586" s="266">
        <f t="shared" si="94"/>
        <v>100000</v>
      </c>
      <c r="R586" s="267">
        <f t="shared" si="92"/>
        <v>1</v>
      </c>
      <c r="S586" s="266">
        <f t="shared" si="95"/>
        <v>0</v>
      </c>
      <c r="T586" s="266">
        <f t="shared" si="96"/>
        <v>0</v>
      </c>
      <c r="U586" s="266">
        <f t="shared" si="97"/>
        <v>100000</v>
      </c>
      <c r="V586" s="266">
        <v>0</v>
      </c>
    </row>
    <row r="587" spans="1:22" ht="27.95" hidden="1" customHeight="1">
      <c r="A587" s="260"/>
      <c r="B587" s="260"/>
      <c r="C587" s="260"/>
      <c r="D587" s="260"/>
      <c r="E587" s="260"/>
      <c r="F587" s="260"/>
      <c r="G587" s="260"/>
      <c r="H587" s="268" t="s">
        <v>1429</v>
      </c>
      <c r="I587" s="238"/>
      <c r="J587" s="262">
        <v>0</v>
      </c>
      <c r="K587" s="263" t="s">
        <v>1248</v>
      </c>
      <c r="L587" s="264">
        <v>0</v>
      </c>
      <c r="M587" s="265">
        <f t="shared" si="99"/>
        <v>0</v>
      </c>
      <c r="N587" s="266">
        <v>0</v>
      </c>
      <c r="O587" s="261"/>
      <c r="P587" s="266">
        <v>0</v>
      </c>
      <c r="Q587" s="266">
        <f t="shared" si="94"/>
        <v>0</v>
      </c>
      <c r="R587" s="267" t="e">
        <f t="shared" si="92"/>
        <v>#DIV/0!</v>
      </c>
      <c r="S587" s="266">
        <f t="shared" si="95"/>
        <v>0</v>
      </c>
      <c r="T587" s="266">
        <f t="shared" si="96"/>
        <v>0</v>
      </c>
      <c r="U587" s="266">
        <f t="shared" si="97"/>
        <v>0</v>
      </c>
      <c r="V587" s="266">
        <v>0</v>
      </c>
    </row>
    <row r="588" spans="1:22" ht="27.95" hidden="1" customHeight="1">
      <c r="A588" s="260"/>
      <c r="B588" s="260"/>
      <c r="C588" s="260"/>
      <c r="D588" s="260"/>
      <c r="E588" s="260"/>
      <c r="F588" s="260"/>
      <c r="G588" s="260"/>
      <c r="H588" s="268" t="s">
        <v>1430</v>
      </c>
      <c r="I588" s="230"/>
      <c r="J588" s="262">
        <v>20</v>
      </c>
      <c r="K588" s="263" t="s">
        <v>1248</v>
      </c>
      <c r="L588" s="264">
        <v>10000</v>
      </c>
      <c r="M588" s="265">
        <f t="shared" si="99"/>
        <v>200000</v>
      </c>
      <c r="N588" s="262">
        <v>20</v>
      </c>
      <c r="O588" s="263" t="s">
        <v>1248</v>
      </c>
      <c r="P588" s="264">
        <v>10000</v>
      </c>
      <c r="Q588" s="266">
        <f t="shared" si="94"/>
        <v>200000</v>
      </c>
      <c r="R588" s="267">
        <f t="shared" si="92"/>
        <v>1</v>
      </c>
      <c r="S588" s="266">
        <f t="shared" si="95"/>
        <v>0</v>
      </c>
      <c r="T588" s="266">
        <f t="shared" si="96"/>
        <v>0</v>
      </c>
      <c r="U588" s="266">
        <f t="shared" si="97"/>
        <v>200000</v>
      </c>
      <c r="V588" s="266">
        <v>0</v>
      </c>
    </row>
    <row r="589" spans="1:22" ht="27.95" hidden="1" customHeight="1">
      <c r="A589" s="260" t="s">
        <v>970</v>
      </c>
      <c r="B589" s="260" t="s">
        <v>995</v>
      </c>
      <c r="C589" s="260">
        <v>14</v>
      </c>
      <c r="D589" s="252">
        <v>5</v>
      </c>
      <c r="E589" s="252">
        <v>3</v>
      </c>
      <c r="F589" s="252">
        <v>4</v>
      </c>
      <c r="G589" s="252"/>
      <c r="H589" s="253" t="s">
        <v>1431</v>
      </c>
      <c r="I589" s="238"/>
      <c r="J589" s="254"/>
      <c r="K589" s="255"/>
      <c r="L589" s="256"/>
      <c r="M589" s="257">
        <f>SUM(M591:M604)</f>
        <v>120000000</v>
      </c>
      <c r="N589" s="266"/>
      <c r="O589" s="261"/>
      <c r="P589" s="266"/>
      <c r="Q589" s="257">
        <f>SUM(Q591:Q604)</f>
        <v>120000000</v>
      </c>
      <c r="R589" s="267" t="str">
        <f t="shared" si="92"/>
        <v/>
      </c>
      <c r="S589" s="257">
        <f>SUM(S591:S604)</f>
        <v>0</v>
      </c>
      <c r="T589" s="257">
        <f>SUM(T591:T604)</f>
        <v>0</v>
      </c>
      <c r="U589" s="257">
        <f>SUM(U591:U604)</f>
        <v>120000000</v>
      </c>
      <c r="V589" s="257">
        <f>SUM(V591:V604)</f>
        <v>0</v>
      </c>
    </row>
    <row r="590" spans="1:22" ht="27.95" hidden="1" customHeight="1">
      <c r="A590" s="260" t="s">
        <v>970</v>
      </c>
      <c r="B590" s="260" t="s">
        <v>995</v>
      </c>
      <c r="C590" s="260">
        <v>14</v>
      </c>
      <c r="D590" s="260">
        <v>5</v>
      </c>
      <c r="E590" s="260">
        <v>3</v>
      </c>
      <c r="F590" s="260">
        <v>4</v>
      </c>
      <c r="G590" s="269" t="s">
        <v>960</v>
      </c>
      <c r="H590" s="261" t="s">
        <v>1432</v>
      </c>
      <c r="I590" s="238"/>
      <c r="J590" s="262"/>
      <c r="K590" s="263"/>
      <c r="L590" s="264"/>
      <c r="M590" s="265"/>
      <c r="N590" s="266">
        <v>0</v>
      </c>
      <c r="O590" s="261"/>
      <c r="P590" s="266">
        <v>0</v>
      </c>
      <c r="Q590" s="266">
        <f t="shared" si="94"/>
        <v>0</v>
      </c>
      <c r="R590" s="267" t="str">
        <f t="shared" si="92"/>
        <v/>
      </c>
      <c r="S590" s="266">
        <f t="shared" si="95"/>
        <v>0</v>
      </c>
      <c r="T590" s="266">
        <f t="shared" si="96"/>
        <v>0</v>
      </c>
      <c r="U590" s="266">
        <f t="shared" si="97"/>
        <v>0</v>
      </c>
      <c r="V590" s="266">
        <v>0</v>
      </c>
    </row>
    <row r="591" spans="1:22" ht="27.95" hidden="1" customHeight="1">
      <c r="A591" s="260"/>
      <c r="B591" s="260"/>
      <c r="C591" s="260"/>
      <c r="D591" s="260"/>
      <c r="E591" s="260"/>
      <c r="F591" s="260"/>
      <c r="G591" s="260"/>
      <c r="H591" s="268" t="s">
        <v>1433</v>
      </c>
      <c r="I591" s="238"/>
      <c r="J591" s="262">
        <v>0</v>
      </c>
      <c r="K591" s="263" t="s">
        <v>967</v>
      </c>
      <c r="L591" s="264">
        <v>0</v>
      </c>
      <c r="M591" s="265">
        <f>+J591*L591</f>
        <v>0</v>
      </c>
      <c r="N591" s="266">
        <v>0</v>
      </c>
      <c r="O591" s="261"/>
      <c r="P591" s="266">
        <v>0</v>
      </c>
      <c r="Q591" s="266">
        <f t="shared" si="94"/>
        <v>0</v>
      </c>
      <c r="R591" s="267" t="e">
        <f t="shared" si="92"/>
        <v>#DIV/0!</v>
      </c>
      <c r="S591" s="266">
        <f t="shared" si="95"/>
        <v>0</v>
      </c>
      <c r="T591" s="266">
        <f t="shared" si="96"/>
        <v>0</v>
      </c>
      <c r="U591" s="266">
        <f t="shared" si="97"/>
        <v>0</v>
      </c>
      <c r="V591" s="266">
        <v>0</v>
      </c>
    </row>
    <row r="592" spans="1:22" ht="27.95" hidden="1" customHeight="1">
      <c r="A592" s="260" t="s">
        <v>970</v>
      </c>
      <c r="B592" s="260" t="s">
        <v>995</v>
      </c>
      <c r="C592" s="260">
        <v>14</v>
      </c>
      <c r="D592" s="260">
        <v>5</v>
      </c>
      <c r="E592" s="260">
        <v>3</v>
      </c>
      <c r="F592" s="260">
        <v>4</v>
      </c>
      <c r="G592" s="269" t="s">
        <v>963</v>
      </c>
      <c r="H592" s="261" t="s">
        <v>542</v>
      </c>
      <c r="I592" s="230"/>
      <c r="J592" s="262"/>
      <c r="K592" s="263"/>
      <c r="L592" s="264"/>
      <c r="M592" s="265"/>
      <c r="N592" s="266">
        <v>0</v>
      </c>
      <c r="O592" s="261"/>
      <c r="P592" s="266">
        <v>0</v>
      </c>
      <c r="Q592" s="266">
        <f t="shared" si="94"/>
        <v>0</v>
      </c>
      <c r="R592" s="267" t="str">
        <f t="shared" si="92"/>
        <v/>
      </c>
      <c r="S592" s="266">
        <f t="shared" si="95"/>
        <v>0</v>
      </c>
      <c r="T592" s="266">
        <f t="shared" si="96"/>
        <v>0</v>
      </c>
      <c r="U592" s="266">
        <f t="shared" si="97"/>
        <v>0</v>
      </c>
      <c r="V592" s="266">
        <v>0</v>
      </c>
    </row>
    <row r="593" spans="1:22" ht="27.95" hidden="1" customHeight="1">
      <c r="A593" s="260"/>
      <c r="B593" s="260"/>
      <c r="C593" s="260"/>
      <c r="D593" s="260"/>
      <c r="E593" s="260"/>
      <c r="F593" s="260"/>
      <c r="G593" s="260"/>
      <c r="H593" s="268" t="s">
        <v>1434</v>
      </c>
      <c r="I593" s="230"/>
      <c r="J593" s="262">
        <v>576</v>
      </c>
      <c r="K593" s="263" t="s">
        <v>1388</v>
      </c>
      <c r="L593" s="264">
        <v>75000</v>
      </c>
      <c r="M593" s="265">
        <f>+J593*L593</f>
        <v>43200000</v>
      </c>
      <c r="N593" s="266">
        <f>288*2</f>
        <v>576</v>
      </c>
      <c r="O593" s="261" t="s">
        <v>1388</v>
      </c>
      <c r="P593" s="266">
        <v>75000</v>
      </c>
      <c r="Q593" s="266">
        <f t="shared" si="94"/>
        <v>43200000</v>
      </c>
      <c r="R593" s="267">
        <f t="shared" si="92"/>
        <v>1</v>
      </c>
      <c r="S593" s="266">
        <f t="shared" si="95"/>
        <v>0</v>
      </c>
      <c r="T593" s="266">
        <f t="shared" si="96"/>
        <v>0</v>
      </c>
      <c r="U593" s="266">
        <f t="shared" si="97"/>
        <v>43200000</v>
      </c>
      <c r="V593" s="266">
        <v>0</v>
      </c>
    </row>
    <row r="594" spans="1:22" ht="27.95" hidden="1" customHeight="1">
      <c r="A594" s="260"/>
      <c r="B594" s="260"/>
      <c r="C594" s="260"/>
      <c r="D594" s="260"/>
      <c r="E594" s="260"/>
      <c r="F594" s="260"/>
      <c r="G594" s="260"/>
      <c r="H594" s="268" t="s">
        <v>1435</v>
      </c>
      <c r="I594" s="230"/>
      <c r="J594" s="262">
        <v>108</v>
      </c>
      <c r="K594" s="263" t="s">
        <v>1388</v>
      </c>
      <c r="L594" s="264">
        <v>85000</v>
      </c>
      <c r="M594" s="265">
        <f>+J594*L594</f>
        <v>9180000</v>
      </c>
      <c r="N594" s="266">
        <f>54*2</f>
        <v>108</v>
      </c>
      <c r="O594" s="261" t="s">
        <v>1388</v>
      </c>
      <c r="P594" s="266">
        <v>85000</v>
      </c>
      <c r="Q594" s="266">
        <f t="shared" si="94"/>
        <v>9180000</v>
      </c>
      <c r="R594" s="267">
        <f t="shared" ref="R594:R657" si="100">IF(J594="","",Q594/M594)</f>
        <v>1</v>
      </c>
      <c r="S594" s="266">
        <f t="shared" si="95"/>
        <v>0</v>
      </c>
      <c r="T594" s="266">
        <f t="shared" si="96"/>
        <v>0</v>
      </c>
      <c r="U594" s="266">
        <f t="shared" si="97"/>
        <v>9180000</v>
      </c>
      <c r="V594" s="266">
        <v>0</v>
      </c>
    </row>
    <row r="595" spans="1:22" ht="27.95" hidden="1" customHeight="1">
      <c r="A595" s="229"/>
      <c r="B595" s="229"/>
      <c r="C595" s="229"/>
      <c r="D595" s="260"/>
      <c r="E595" s="260"/>
      <c r="F595" s="260"/>
      <c r="G595" s="260"/>
      <c r="H595" s="268" t="s">
        <v>1436</v>
      </c>
      <c r="I595" s="238"/>
      <c r="J595" s="262">
        <v>36</v>
      </c>
      <c r="K595" s="263" t="s">
        <v>1388</v>
      </c>
      <c r="L595" s="264">
        <v>105000</v>
      </c>
      <c r="M595" s="265">
        <f>+J595*L595</f>
        <v>3780000</v>
      </c>
      <c r="N595" s="266">
        <f>18*2</f>
        <v>36</v>
      </c>
      <c r="O595" s="261" t="s">
        <v>1388</v>
      </c>
      <c r="P595" s="266">
        <v>105000</v>
      </c>
      <c r="Q595" s="266">
        <f t="shared" si="94"/>
        <v>3780000</v>
      </c>
      <c r="R595" s="267">
        <f t="shared" si="100"/>
        <v>1</v>
      </c>
      <c r="S595" s="266">
        <f t="shared" si="95"/>
        <v>0</v>
      </c>
      <c r="T595" s="266">
        <f t="shared" si="96"/>
        <v>0</v>
      </c>
      <c r="U595" s="266">
        <f t="shared" si="97"/>
        <v>3780000</v>
      </c>
      <c r="V595" s="266">
        <v>0</v>
      </c>
    </row>
    <row r="596" spans="1:22" ht="27.95" hidden="1" customHeight="1">
      <c r="A596" s="229"/>
      <c r="B596" s="229"/>
      <c r="C596" s="229"/>
      <c r="D596" s="260"/>
      <c r="E596" s="260"/>
      <c r="F596" s="260"/>
      <c r="G596" s="260"/>
      <c r="H596" s="268" t="s">
        <v>1437</v>
      </c>
      <c r="I596" s="238"/>
      <c r="J596" s="262">
        <v>40</v>
      </c>
      <c r="K596" s="263" t="s">
        <v>966</v>
      </c>
      <c r="L596" s="264">
        <v>16800</v>
      </c>
      <c r="M596" s="265">
        <f>+J596*L596</f>
        <v>672000</v>
      </c>
      <c r="N596" s="262">
        <v>40</v>
      </c>
      <c r="O596" s="263" t="s">
        <v>966</v>
      </c>
      <c r="P596" s="264">
        <v>16800</v>
      </c>
      <c r="Q596" s="266">
        <f t="shared" si="94"/>
        <v>672000</v>
      </c>
      <c r="R596" s="267">
        <f t="shared" si="100"/>
        <v>1</v>
      </c>
      <c r="S596" s="266">
        <f t="shared" si="95"/>
        <v>0</v>
      </c>
      <c r="T596" s="266">
        <f t="shared" si="96"/>
        <v>0</v>
      </c>
      <c r="U596" s="266">
        <f t="shared" si="97"/>
        <v>672000</v>
      </c>
      <c r="V596" s="266">
        <v>0</v>
      </c>
    </row>
    <row r="597" spans="1:22" ht="27.95" hidden="1" customHeight="1">
      <c r="A597" s="260" t="s">
        <v>970</v>
      </c>
      <c r="B597" s="260" t="s">
        <v>995</v>
      </c>
      <c r="C597" s="260">
        <v>14</v>
      </c>
      <c r="D597" s="260">
        <v>5</v>
      </c>
      <c r="E597" s="260">
        <v>3</v>
      </c>
      <c r="F597" s="260">
        <v>4</v>
      </c>
      <c r="G597" s="269" t="s">
        <v>995</v>
      </c>
      <c r="H597" s="261" t="s">
        <v>1414</v>
      </c>
      <c r="I597" s="238"/>
      <c r="J597" s="262"/>
      <c r="K597" s="263"/>
      <c r="L597" s="264"/>
      <c r="M597" s="265"/>
      <c r="N597" s="266">
        <v>0</v>
      </c>
      <c r="O597" s="261"/>
      <c r="P597" s="266">
        <v>0</v>
      </c>
      <c r="Q597" s="266">
        <f t="shared" si="94"/>
        <v>0</v>
      </c>
      <c r="R597" s="267" t="str">
        <f t="shared" si="100"/>
        <v/>
      </c>
      <c r="S597" s="266">
        <f t="shared" si="95"/>
        <v>0</v>
      </c>
      <c r="T597" s="266">
        <f t="shared" si="96"/>
        <v>0</v>
      </c>
      <c r="U597" s="266">
        <f t="shared" si="97"/>
        <v>0</v>
      </c>
      <c r="V597" s="266">
        <v>0</v>
      </c>
    </row>
    <row r="598" spans="1:22" ht="27.95" hidden="1" customHeight="1">
      <c r="A598" s="260"/>
      <c r="B598" s="260"/>
      <c r="C598" s="260"/>
      <c r="D598" s="260"/>
      <c r="E598" s="260"/>
      <c r="F598" s="260"/>
      <c r="G598" s="269"/>
      <c r="H598" s="268" t="s">
        <v>1438</v>
      </c>
      <c r="I598" s="238"/>
      <c r="J598" s="262">
        <v>1</v>
      </c>
      <c r="K598" s="263" t="s">
        <v>1103</v>
      </c>
      <c r="L598" s="264">
        <v>59998000</v>
      </c>
      <c r="M598" s="265">
        <f>+J598*L598</f>
        <v>59998000</v>
      </c>
      <c r="N598" s="262">
        <v>1</v>
      </c>
      <c r="O598" s="263" t="s">
        <v>1103</v>
      </c>
      <c r="P598" s="266">
        <f>500000+58998000+500000</f>
        <v>59998000</v>
      </c>
      <c r="Q598" s="266">
        <f t="shared" si="94"/>
        <v>59998000</v>
      </c>
      <c r="R598" s="267">
        <f t="shared" si="100"/>
        <v>1</v>
      </c>
      <c r="S598" s="266">
        <f t="shared" si="95"/>
        <v>0</v>
      </c>
      <c r="T598" s="266">
        <f t="shared" si="96"/>
        <v>0</v>
      </c>
      <c r="U598" s="266">
        <f t="shared" si="97"/>
        <v>59998000</v>
      </c>
      <c r="V598" s="266">
        <v>0</v>
      </c>
    </row>
    <row r="599" spans="1:22" ht="27.95" hidden="1" customHeight="1">
      <c r="A599" s="260" t="s">
        <v>970</v>
      </c>
      <c r="B599" s="260" t="s">
        <v>995</v>
      </c>
      <c r="C599" s="260">
        <v>14</v>
      </c>
      <c r="D599" s="260">
        <v>5</v>
      </c>
      <c r="E599" s="260">
        <v>3</v>
      </c>
      <c r="F599" s="260">
        <v>5</v>
      </c>
      <c r="G599" s="269" t="s">
        <v>1038</v>
      </c>
      <c r="H599" s="261" t="s">
        <v>1424</v>
      </c>
      <c r="I599" s="238"/>
      <c r="J599" s="262"/>
      <c r="K599" s="263"/>
      <c r="L599" s="264"/>
      <c r="M599" s="265"/>
      <c r="N599" s="266">
        <v>0</v>
      </c>
      <c r="O599" s="261"/>
      <c r="P599" s="266">
        <v>0</v>
      </c>
      <c r="Q599" s="266">
        <f t="shared" si="94"/>
        <v>0</v>
      </c>
      <c r="R599" s="267" t="str">
        <f t="shared" si="100"/>
        <v/>
      </c>
      <c r="S599" s="266">
        <f t="shared" si="95"/>
        <v>0</v>
      </c>
      <c r="T599" s="266">
        <f t="shared" si="96"/>
        <v>0</v>
      </c>
      <c r="U599" s="266">
        <f t="shared" si="97"/>
        <v>0</v>
      </c>
      <c r="V599" s="266">
        <v>0</v>
      </c>
    </row>
    <row r="600" spans="1:22" ht="27.95" hidden="1" customHeight="1">
      <c r="A600" s="260"/>
      <c r="B600" s="260"/>
      <c r="C600" s="260"/>
      <c r="D600" s="260"/>
      <c r="E600" s="260"/>
      <c r="F600" s="260"/>
      <c r="G600" s="269"/>
      <c r="H600" s="268" t="s">
        <v>1439</v>
      </c>
      <c r="I600" s="230"/>
      <c r="J600" s="262">
        <v>1</v>
      </c>
      <c r="K600" s="263" t="s">
        <v>1029</v>
      </c>
      <c r="L600" s="264">
        <v>200000</v>
      </c>
      <c r="M600" s="265">
        <f>+J600*L600</f>
        <v>200000</v>
      </c>
      <c r="N600" s="262">
        <v>1</v>
      </c>
      <c r="O600" s="263" t="s">
        <v>1029</v>
      </c>
      <c r="P600" s="264">
        <v>200000</v>
      </c>
      <c r="Q600" s="266">
        <f>+N600*P600</f>
        <v>200000</v>
      </c>
      <c r="R600" s="267">
        <f t="shared" si="100"/>
        <v>1</v>
      </c>
      <c r="S600" s="266">
        <f>+IF(W600="DDS",Q600,0)</f>
        <v>0</v>
      </c>
      <c r="T600" s="266">
        <f>+IF(W600="ADD",Q600,0)</f>
        <v>0</v>
      </c>
      <c r="U600" s="266">
        <f>+IF(W600="DDS",0,IF(W600="ADD",0,Q600))</f>
        <v>200000</v>
      </c>
      <c r="V600" s="266">
        <v>0</v>
      </c>
    </row>
    <row r="601" spans="1:22" ht="27.95" hidden="1" customHeight="1">
      <c r="A601" s="260"/>
      <c r="B601" s="260"/>
      <c r="C601" s="260"/>
      <c r="D601" s="260"/>
      <c r="E601" s="260"/>
      <c r="F601" s="260"/>
      <c r="G601" s="269"/>
      <c r="H601" s="268" t="s">
        <v>1440</v>
      </c>
      <c r="I601" s="238"/>
      <c r="J601" s="262">
        <v>1</v>
      </c>
      <c r="K601" s="263" t="s">
        <v>1029</v>
      </c>
      <c r="L601" s="264">
        <v>200000</v>
      </c>
      <c r="M601" s="265">
        <f>+J601*L601</f>
        <v>200000</v>
      </c>
      <c r="N601" s="262">
        <v>1</v>
      </c>
      <c r="O601" s="263" t="s">
        <v>1029</v>
      </c>
      <c r="P601" s="264">
        <v>200000</v>
      </c>
      <c r="Q601" s="266">
        <f>+N601*P601</f>
        <v>200000</v>
      </c>
      <c r="R601" s="267">
        <f t="shared" si="100"/>
        <v>1</v>
      </c>
      <c r="S601" s="266">
        <f>+IF(W601="DDS",Q601,0)</f>
        <v>0</v>
      </c>
      <c r="T601" s="266">
        <f>+IF(W601="ADD",Q601,0)</f>
        <v>0</v>
      </c>
      <c r="U601" s="266">
        <f>+IF(W601="DDS",0,IF(W601="ADD",0,Q601))</f>
        <v>200000</v>
      </c>
      <c r="V601" s="266">
        <v>0</v>
      </c>
    </row>
    <row r="602" spans="1:22" ht="27.95" hidden="1" customHeight="1">
      <c r="A602" s="260"/>
      <c r="B602" s="260"/>
      <c r="C602" s="260"/>
      <c r="D602" s="260"/>
      <c r="E602" s="260"/>
      <c r="F602" s="260"/>
      <c r="G602" s="269"/>
      <c r="H602" s="268" t="s">
        <v>1441</v>
      </c>
      <c r="I602" s="238"/>
      <c r="J602" s="262">
        <v>52</v>
      </c>
      <c r="K602" s="263" t="s">
        <v>1042</v>
      </c>
      <c r="L602" s="264">
        <v>35000</v>
      </c>
      <c r="M602" s="265">
        <f>+J602*L602</f>
        <v>1820000</v>
      </c>
      <c r="N602" s="262">
        <v>52</v>
      </c>
      <c r="O602" s="263" t="s">
        <v>1042</v>
      </c>
      <c r="P602" s="264">
        <v>35000</v>
      </c>
      <c r="Q602" s="266">
        <f>+N602*P602</f>
        <v>1820000</v>
      </c>
      <c r="R602" s="267">
        <f t="shared" si="100"/>
        <v>1</v>
      </c>
      <c r="S602" s="266">
        <f>+IF(W602="DDS",Q602,0)</f>
        <v>0</v>
      </c>
      <c r="T602" s="266">
        <f>+IF(W602="ADD",Q602,0)</f>
        <v>0</v>
      </c>
      <c r="U602" s="266">
        <f>+IF(W602="DDS",0,IF(W602="ADD",0,Q602))</f>
        <v>1820000</v>
      </c>
      <c r="V602" s="266">
        <v>0</v>
      </c>
    </row>
    <row r="603" spans="1:22" ht="27.95" hidden="1" customHeight="1">
      <c r="A603" s="260"/>
      <c r="B603" s="260"/>
      <c r="C603" s="260"/>
      <c r="D603" s="260"/>
      <c r="E603" s="260"/>
      <c r="F603" s="260"/>
      <c r="G603" s="269"/>
      <c r="H603" s="268" t="s">
        <v>1442</v>
      </c>
      <c r="I603" s="238"/>
      <c r="J603" s="262">
        <v>1</v>
      </c>
      <c r="K603" s="263" t="s">
        <v>1046</v>
      </c>
      <c r="L603" s="264">
        <v>750000</v>
      </c>
      <c r="M603" s="265">
        <f>+J603*L603</f>
        <v>750000</v>
      </c>
      <c r="N603" s="266">
        <v>1</v>
      </c>
      <c r="O603" s="261" t="s">
        <v>1029</v>
      </c>
      <c r="P603" s="266">
        <v>750000</v>
      </c>
      <c r="Q603" s="266">
        <f>+N603*P603</f>
        <v>750000</v>
      </c>
      <c r="R603" s="267">
        <f>IF(J603="","",Q603/M603)</f>
        <v>1</v>
      </c>
      <c r="S603" s="266">
        <f>+IF(W603="DDS",Q603,0)</f>
        <v>0</v>
      </c>
      <c r="T603" s="266">
        <f>+IF(W603="ADD",Q603,0)</f>
        <v>0</v>
      </c>
      <c r="U603" s="266">
        <f>+IF(W603="DDS",0,IF(W603="ADD",0,Q603))</f>
        <v>750000</v>
      </c>
      <c r="V603" s="266">
        <v>0</v>
      </c>
    </row>
    <row r="604" spans="1:22" ht="27.95" hidden="1" customHeight="1">
      <c r="A604" s="260"/>
      <c r="B604" s="260"/>
      <c r="C604" s="260"/>
      <c r="D604" s="260"/>
      <c r="E604" s="260"/>
      <c r="F604" s="260"/>
      <c r="G604" s="269"/>
      <c r="H604" s="268" t="s">
        <v>1443</v>
      </c>
      <c r="I604" s="238"/>
      <c r="J604" s="262">
        <v>1</v>
      </c>
      <c r="K604" s="263" t="s">
        <v>1046</v>
      </c>
      <c r="L604" s="264">
        <v>200000</v>
      </c>
      <c r="M604" s="265">
        <f>+J604*L604</f>
        <v>200000</v>
      </c>
      <c r="N604" s="262">
        <v>1</v>
      </c>
      <c r="O604" s="263" t="s">
        <v>1046</v>
      </c>
      <c r="P604" s="264">
        <v>200000</v>
      </c>
      <c r="Q604" s="266">
        <f>+N604*P604</f>
        <v>200000</v>
      </c>
      <c r="R604" s="267">
        <f>IF(J604="","",Q604/M604)</f>
        <v>1</v>
      </c>
      <c r="S604" s="266">
        <f>+IF(W604="DDS",Q604,0)</f>
        <v>0</v>
      </c>
      <c r="T604" s="266">
        <f>+IF(W604="ADD",Q604,0)</f>
        <v>0</v>
      </c>
      <c r="U604" s="266">
        <f>+IF(W604="DDS",0,IF(W604="ADD",0,Q604))</f>
        <v>200000</v>
      </c>
      <c r="V604" s="266">
        <v>0</v>
      </c>
    </row>
    <row r="605" spans="1:22" ht="27.95" customHeight="1">
      <c r="A605" s="252">
        <v>2</v>
      </c>
      <c r="B605" s="252">
        <v>3</v>
      </c>
      <c r="C605" s="252">
        <v>15</v>
      </c>
      <c r="D605" s="252"/>
      <c r="E605" s="252"/>
      <c r="F605" s="252"/>
      <c r="G605" s="252"/>
      <c r="H605" s="283" t="s">
        <v>1444</v>
      </c>
      <c r="I605" s="238" t="s">
        <v>1445</v>
      </c>
      <c r="J605" s="254"/>
      <c r="K605" s="255">
        <v>1</v>
      </c>
      <c r="L605" s="256" t="s">
        <v>1538</v>
      </c>
      <c r="M605" s="257">
        <f>M606</f>
        <v>105282000</v>
      </c>
      <c r="N605" s="266"/>
      <c r="O605" s="255">
        <v>1</v>
      </c>
      <c r="P605" s="256" t="s">
        <v>1538</v>
      </c>
      <c r="Q605" s="257">
        <f>Q606</f>
        <v>102212000</v>
      </c>
      <c r="R605" s="236">
        <f>Q605/M605*100%</f>
        <v>0.97084021960069145</v>
      </c>
      <c r="S605" s="257">
        <f>S606</f>
        <v>0</v>
      </c>
      <c r="T605" s="257">
        <f>T606</f>
        <v>0</v>
      </c>
      <c r="U605" s="257">
        <f>U606</f>
        <v>102212000</v>
      </c>
      <c r="V605" s="257">
        <f>V606</f>
        <v>0</v>
      </c>
    </row>
    <row r="606" spans="1:22" ht="27.95" hidden="1" customHeight="1">
      <c r="A606" s="252">
        <v>2</v>
      </c>
      <c r="B606" s="252">
        <v>3</v>
      </c>
      <c r="C606" s="252">
        <v>15</v>
      </c>
      <c r="D606" s="260">
        <v>5</v>
      </c>
      <c r="E606" s="260">
        <v>3</v>
      </c>
      <c r="F606" s="260"/>
      <c r="G606" s="260"/>
      <c r="H606" s="268" t="s">
        <v>141</v>
      </c>
      <c r="I606" s="238"/>
      <c r="J606" s="262"/>
      <c r="K606" s="263"/>
      <c r="L606" s="264"/>
      <c r="M606" s="265">
        <f>SUM(M607)</f>
        <v>105282000</v>
      </c>
      <c r="N606" s="266"/>
      <c r="O606" s="261"/>
      <c r="P606" s="266"/>
      <c r="Q606" s="265">
        <f>SUM(Q607)</f>
        <v>102212000</v>
      </c>
      <c r="R606" s="267"/>
      <c r="S606" s="265">
        <f>SUM(S607)</f>
        <v>0</v>
      </c>
      <c r="T606" s="265">
        <f>SUM(T607)</f>
        <v>0</v>
      </c>
      <c r="U606" s="265">
        <f>SUM(U607)</f>
        <v>102212000</v>
      </c>
      <c r="V606" s="265">
        <f>SUM(V607)</f>
        <v>0</v>
      </c>
    </row>
    <row r="607" spans="1:22" ht="27.95" hidden="1" customHeight="1">
      <c r="A607" s="252">
        <v>2</v>
      </c>
      <c r="B607" s="252">
        <v>3</v>
      </c>
      <c r="C607" s="252">
        <v>15</v>
      </c>
      <c r="D607" s="229">
        <v>5</v>
      </c>
      <c r="E607" s="229">
        <v>3</v>
      </c>
      <c r="F607" s="229">
        <v>4</v>
      </c>
      <c r="G607" s="229"/>
      <c r="H607" s="253" t="s">
        <v>1431</v>
      </c>
      <c r="I607" s="238"/>
      <c r="J607" s="231"/>
      <c r="K607" s="232"/>
      <c r="L607" s="237"/>
      <c r="M607" s="234">
        <f>SUM(M608:M617)</f>
        <v>105282000</v>
      </c>
      <c r="N607" s="266"/>
      <c r="O607" s="261"/>
      <c r="P607" s="266"/>
      <c r="Q607" s="234">
        <f>SUM(Q608:Q617)</f>
        <v>102212000</v>
      </c>
      <c r="R607" s="267"/>
      <c r="S607" s="234">
        <f>SUM(S608:S617)</f>
        <v>0</v>
      </c>
      <c r="T607" s="234">
        <f>SUM(T608:T617)</f>
        <v>0</v>
      </c>
      <c r="U607" s="234">
        <f>SUM(U608:U617)</f>
        <v>102212000</v>
      </c>
      <c r="V607" s="234">
        <f>SUM(V608:V617)</f>
        <v>0</v>
      </c>
    </row>
    <row r="608" spans="1:22" ht="27.95" hidden="1" customHeight="1">
      <c r="A608" s="252">
        <v>2</v>
      </c>
      <c r="B608" s="252">
        <v>3</v>
      </c>
      <c r="C608" s="252">
        <v>15</v>
      </c>
      <c r="D608" s="260">
        <v>5</v>
      </c>
      <c r="E608" s="260">
        <v>3</v>
      </c>
      <c r="F608" s="260">
        <v>4</v>
      </c>
      <c r="G608" s="269" t="s">
        <v>960</v>
      </c>
      <c r="H608" s="268" t="s">
        <v>1446</v>
      </c>
      <c r="I608" s="238"/>
      <c r="J608" s="262">
        <v>1</v>
      </c>
      <c r="K608" s="263" t="s">
        <v>966</v>
      </c>
      <c r="L608" s="264">
        <v>825000</v>
      </c>
      <c r="M608" s="265">
        <f>+J608*L608</f>
        <v>825000</v>
      </c>
      <c r="N608" s="262">
        <v>1</v>
      </c>
      <c r="O608" s="263" t="s">
        <v>966</v>
      </c>
      <c r="P608" s="264">
        <v>825000</v>
      </c>
      <c r="Q608" s="266">
        <f>+N608*P608</f>
        <v>825000</v>
      </c>
      <c r="R608" s="267">
        <f>IF(J608="","",Q608/M608)</f>
        <v>1</v>
      </c>
      <c r="S608" s="266">
        <f>+IF(W608="DDS",Q608,0)</f>
        <v>0</v>
      </c>
      <c r="T608" s="266">
        <f>+IF(W608="ADD",Q608,0)</f>
        <v>0</v>
      </c>
      <c r="U608" s="266">
        <f>+IF(W608="DDS",0,IF(W608="ADD",0,Q608))</f>
        <v>825000</v>
      </c>
      <c r="V608" s="266">
        <v>0</v>
      </c>
    </row>
    <row r="609" spans="1:22" ht="27.95" hidden="1" customHeight="1">
      <c r="A609" s="252">
        <v>2</v>
      </c>
      <c r="B609" s="252">
        <v>3</v>
      </c>
      <c r="C609" s="252">
        <v>15</v>
      </c>
      <c r="D609" s="260">
        <v>5</v>
      </c>
      <c r="E609" s="260">
        <v>3</v>
      </c>
      <c r="F609" s="260">
        <v>4</v>
      </c>
      <c r="G609" s="269" t="s">
        <v>963</v>
      </c>
      <c r="H609" s="268" t="s">
        <v>1447</v>
      </c>
      <c r="I609" s="238"/>
      <c r="J609" s="262"/>
      <c r="K609" s="263"/>
      <c r="L609" s="264"/>
      <c r="M609" s="265"/>
      <c r="N609" s="266"/>
      <c r="O609" s="261"/>
      <c r="P609" s="266"/>
      <c r="Q609" s="266"/>
      <c r="R609" s="267"/>
      <c r="S609" s="266"/>
      <c r="T609" s="266"/>
      <c r="U609" s="266"/>
      <c r="V609" s="266"/>
    </row>
    <row r="610" spans="1:22" ht="27.95" hidden="1" customHeight="1">
      <c r="A610" s="260"/>
      <c r="B610" s="260"/>
      <c r="C610" s="260"/>
      <c r="D610" s="260"/>
      <c r="E610" s="260"/>
      <c r="F610" s="260"/>
      <c r="G610" s="260"/>
      <c r="H610" s="268" t="s">
        <v>1448</v>
      </c>
      <c r="I610" s="238"/>
      <c r="J610" s="262">
        <v>78</v>
      </c>
      <c r="K610" s="263" t="s">
        <v>1388</v>
      </c>
      <c r="L610" s="264">
        <v>80000</v>
      </c>
      <c r="M610" s="265">
        <f>+J610*L610</f>
        <v>6240000</v>
      </c>
      <c r="N610" s="266">
        <f>48+42</f>
        <v>90</v>
      </c>
      <c r="O610" s="263" t="s">
        <v>1388</v>
      </c>
      <c r="P610" s="264">
        <v>75000</v>
      </c>
      <c r="Q610" s="266">
        <f>+N610*P610</f>
        <v>6750000</v>
      </c>
      <c r="R610" s="267">
        <f>IF(J610="","",Q610/M610)</f>
        <v>1.0817307692307692</v>
      </c>
      <c r="S610" s="266">
        <f>+IF(W610="DDS",Q610,0)</f>
        <v>0</v>
      </c>
      <c r="T610" s="266">
        <f>+IF(W610="ADD",Q610,0)</f>
        <v>0</v>
      </c>
      <c r="U610" s="266">
        <f>+IF(W610="DDS",0,IF(W610="ADD",0,Q610))</f>
        <v>6750000</v>
      </c>
      <c r="V610" s="266">
        <v>0</v>
      </c>
    </row>
    <row r="611" spans="1:22" ht="27.95" hidden="1" customHeight="1">
      <c r="A611" s="260"/>
      <c r="B611" s="260"/>
      <c r="C611" s="260"/>
      <c r="D611" s="260"/>
      <c r="E611" s="260"/>
      <c r="F611" s="260"/>
      <c r="G611" s="260"/>
      <c r="H611" s="268" t="s">
        <v>1449</v>
      </c>
      <c r="I611" s="238"/>
      <c r="J611" s="262">
        <v>110</v>
      </c>
      <c r="K611" s="263" t="s">
        <v>1388</v>
      </c>
      <c r="L611" s="264">
        <v>85000</v>
      </c>
      <c r="M611" s="265">
        <f>+J611*L611</f>
        <v>9350000</v>
      </c>
      <c r="N611" s="266">
        <f>32+50</f>
        <v>82</v>
      </c>
      <c r="O611" s="263" t="s">
        <v>1388</v>
      </c>
      <c r="P611" s="264">
        <v>85000</v>
      </c>
      <c r="Q611" s="266">
        <f>+N611*P611</f>
        <v>6970000</v>
      </c>
      <c r="R611" s="267">
        <f>IF(J611="","",Q611/M611)</f>
        <v>0.74545454545454548</v>
      </c>
      <c r="S611" s="266">
        <f>+IF(W611="DDS",Q611,0)</f>
        <v>0</v>
      </c>
      <c r="T611" s="266">
        <f>+IF(W611="ADD",Q611,0)</f>
        <v>0</v>
      </c>
      <c r="U611" s="266">
        <f>+IF(W611="DDS",0,IF(W611="ADD",0,Q611))</f>
        <v>6970000</v>
      </c>
      <c r="V611" s="266">
        <v>0</v>
      </c>
    </row>
    <row r="612" spans="1:22" ht="27.95" hidden="1" customHeight="1">
      <c r="A612" s="252">
        <v>2</v>
      </c>
      <c r="B612" s="252">
        <v>3</v>
      </c>
      <c r="C612" s="252">
        <v>15</v>
      </c>
      <c r="D612" s="260">
        <v>5</v>
      </c>
      <c r="E612" s="260">
        <v>3</v>
      </c>
      <c r="F612" s="260">
        <v>4</v>
      </c>
      <c r="G612" s="269" t="s">
        <v>995</v>
      </c>
      <c r="H612" s="268" t="s">
        <v>1450</v>
      </c>
      <c r="I612" s="238"/>
      <c r="J612" s="262"/>
      <c r="K612" s="263"/>
      <c r="L612" s="264"/>
      <c r="M612" s="265"/>
      <c r="N612" s="266"/>
      <c r="O612" s="261"/>
      <c r="P612" s="266"/>
      <c r="Q612" s="266"/>
      <c r="R612" s="267"/>
      <c r="S612" s="266"/>
      <c r="T612" s="266"/>
      <c r="U612" s="266"/>
      <c r="V612" s="266"/>
    </row>
    <row r="613" spans="1:22" ht="27.95" hidden="1" customHeight="1">
      <c r="A613" s="260"/>
      <c r="B613" s="260"/>
      <c r="C613" s="260"/>
      <c r="D613" s="260"/>
      <c r="E613" s="260"/>
      <c r="F613" s="260"/>
      <c r="G613" s="260"/>
      <c r="H613" s="268" t="s">
        <v>1451</v>
      </c>
      <c r="I613" s="238"/>
      <c r="J613" s="262">
        <v>1</v>
      </c>
      <c r="K613" s="263" t="s">
        <v>1029</v>
      </c>
      <c r="L613" s="264">
        <v>88267000</v>
      </c>
      <c r="M613" s="265">
        <f>+J613*L613</f>
        <v>88267000</v>
      </c>
      <c r="N613" s="266">
        <v>1</v>
      </c>
      <c r="O613" s="261" t="s">
        <v>1034</v>
      </c>
      <c r="P613" s="266">
        <f>56400000+200000+30667000</f>
        <v>87267000</v>
      </c>
      <c r="Q613" s="266">
        <f>+N613*P613</f>
        <v>87267000</v>
      </c>
      <c r="R613" s="267">
        <f>IF(J613="","",Q613/M613)</f>
        <v>0.98867073764827174</v>
      </c>
      <c r="S613" s="266">
        <f>+IF(W613="DDS",Q613,0)</f>
        <v>0</v>
      </c>
      <c r="T613" s="266">
        <f>+IF(W613="ADD",Q613,0)</f>
        <v>0</v>
      </c>
      <c r="U613" s="266">
        <f>+IF(W613="DDS",0,IF(W613="ADD",0,Q613))</f>
        <v>87267000</v>
      </c>
      <c r="V613" s="266">
        <v>0</v>
      </c>
    </row>
    <row r="614" spans="1:22" ht="27.95" hidden="1" customHeight="1">
      <c r="A614" s="252">
        <v>2</v>
      </c>
      <c r="B614" s="252">
        <v>3</v>
      </c>
      <c r="C614" s="252">
        <v>15</v>
      </c>
      <c r="D614" s="260">
        <v>5</v>
      </c>
      <c r="E614" s="260">
        <v>3</v>
      </c>
      <c r="F614" s="260">
        <v>4</v>
      </c>
      <c r="G614" s="269" t="s">
        <v>1038</v>
      </c>
      <c r="H614" s="268" t="s">
        <v>546</v>
      </c>
      <c r="I614" s="238"/>
      <c r="J614" s="262"/>
      <c r="K614" s="263"/>
      <c r="L614" s="264"/>
      <c r="M614" s="265"/>
      <c r="N614" s="266"/>
      <c r="O614" s="261"/>
      <c r="P614" s="266"/>
      <c r="Q614" s="266"/>
      <c r="R614" s="267"/>
      <c r="S614" s="266"/>
      <c r="T614" s="266"/>
      <c r="U614" s="266"/>
      <c r="V614" s="266"/>
    </row>
    <row r="615" spans="1:22" ht="27.95" hidden="1" customHeight="1">
      <c r="A615" s="260"/>
      <c r="B615" s="260"/>
      <c r="C615" s="260"/>
      <c r="D615" s="260"/>
      <c r="E615" s="260"/>
      <c r="F615" s="260"/>
      <c r="G615" s="260"/>
      <c r="H615" s="268" t="s">
        <v>1452</v>
      </c>
      <c r="I615" s="238"/>
      <c r="J615" s="262">
        <v>1</v>
      </c>
      <c r="K615" s="263" t="s">
        <v>1029</v>
      </c>
      <c r="L615" s="264">
        <v>150000</v>
      </c>
      <c r="M615" s="265">
        <f>+J615*L615</f>
        <v>150000</v>
      </c>
      <c r="N615" s="262">
        <v>1</v>
      </c>
      <c r="O615" s="263" t="s">
        <v>1029</v>
      </c>
      <c r="P615" s="264">
        <v>150000</v>
      </c>
      <c r="Q615" s="266">
        <f>+N615*P615</f>
        <v>150000</v>
      </c>
      <c r="R615" s="267">
        <f>IF(J615="","",Q615/M615)</f>
        <v>1</v>
      </c>
      <c r="S615" s="266">
        <f>+IF(W615="DDS",Q615,0)</f>
        <v>0</v>
      </c>
      <c r="T615" s="266">
        <f>+IF(W615="ADD",Q615,0)</f>
        <v>0</v>
      </c>
      <c r="U615" s="266">
        <f>+IF(W615="DDS",0,IF(W615="ADD",0,Q615))</f>
        <v>150000</v>
      </c>
      <c r="V615" s="266">
        <v>0</v>
      </c>
    </row>
    <row r="616" spans="1:22" ht="27.95" hidden="1" customHeight="1">
      <c r="A616" s="260"/>
      <c r="B616" s="260"/>
      <c r="C616" s="260"/>
      <c r="D616" s="260"/>
      <c r="E616" s="260"/>
      <c r="F616" s="260"/>
      <c r="G616" s="260"/>
      <c r="H616" s="268" t="s">
        <v>1325</v>
      </c>
      <c r="I616" s="238"/>
      <c r="J616" s="262">
        <v>1</v>
      </c>
      <c r="K616" s="263" t="s">
        <v>1029</v>
      </c>
      <c r="L616" s="264">
        <v>50000</v>
      </c>
      <c r="M616" s="265">
        <f>+J616*L616</f>
        <v>50000</v>
      </c>
      <c r="N616" s="262">
        <v>1</v>
      </c>
      <c r="O616" s="263" t="s">
        <v>1029</v>
      </c>
      <c r="P616" s="264">
        <v>50000</v>
      </c>
      <c r="Q616" s="266">
        <f>+N616*P616</f>
        <v>50000</v>
      </c>
      <c r="R616" s="267">
        <f>IF(J616="","",Q616/M616)</f>
        <v>1</v>
      </c>
      <c r="S616" s="266">
        <f>+IF(W616="DDS",Q616,0)</f>
        <v>0</v>
      </c>
      <c r="T616" s="266">
        <f>+IF(W616="ADD",Q616,0)</f>
        <v>0</v>
      </c>
      <c r="U616" s="266">
        <f>+IF(W616="DDS",0,IF(W616="ADD",0,Q616))</f>
        <v>50000</v>
      </c>
      <c r="V616" s="266">
        <v>0</v>
      </c>
    </row>
    <row r="617" spans="1:22" ht="27.95" hidden="1" customHeight="1">
      <c r="A617" s="260"/>
      <c r="B617" s="260"/>
      <c r="C617" s="260"/>
      <c r="D617" s="260"/>
      <c r="E617" s="260"/>
      <c r="F617" s="260"/>
      <c r="G617" s="260"/>
      <c r="H617" s="268" t="s">
        <v>1453</v>
      </c>
      <c r="I617" s="238"/>
      <c r="J617" s="262">
        <v>40</v>
      </c>
      <c r="K617" s="263" t="s">
        <v>1042</v>
      </c>
      <c r="L617" s="264">
        <v>10000</v>
      </c>
      <c r="M617" s="265">
        <f>+J617*L617</f>
        <v>400000</v>
      </c>
      <c r="N617" s="266">
        <v>20</v>
      </c>
      <c r="O617" s="261" t="s">
        <v>1454</v>
      </c>
      <c r="P617" s="266">
        <v>10000</v>
      </c>
      <c r="Q617" s="266">
        <f>+N617*P617</f>
        <v>200000</v>
      </c>
      <c r="R617" s="267">
        <f>IF(J617="","",Q617/M617)</f>
        <v>0.5</v>
      </c>
      <c r="S617" s="266">
        <f>+IF(W617="DDS",Q617,0)</f>
        <v>0</v>
      </c>
      <c r="T617" s="266">
        <f>+IF(W617="ADD",Q617,0)</f>
        <v>0</v>
      </c>
      <c r="U617" s="266">
        <f>+IF(W617="DDS",0,IF(W617="ADD",0,Q617))</f>
        <v>200000</v>
      </c>
      <c r="V617" s="266">
        <v>0</v>
      </c>
    </row>
    <row r="618" spans="1:22" ht="27.95" customHeight="1">
      <c r="A618" s="229" t="s">
        <v>970</v>
      </c>
      <c r="B618" s="229" t="s">
        <v>1002</v>
      </c>
      <c r="C618" s="260"/>
      <c r="D618" s="229"/>
      <c r="E618" s="229"/>
      <c r="F618" s="229" t="s">
        <v>959</v>
      </c>
      <c r="G618" s="229" t="s">
        <v>959</v>
      </c>
      <c r="H618" s="230" t="s">
        <v>166</v>
      </c>
      <c r="I618" s="238"/>
      <c r="J618" s="231"/>
      <c r="K618" s="232"/>
      <c r="L618" s="237"/>
      <c r="M618" s="234">
        <f>+M619</f>
        <v>61250000</v>
      </c>
      <c r="N618" s="266"/>
      <c r="O618" s="261"/>
      <c r="P618" s="266"/>
      <c r="Q618" s="234">
        <f>+Q619</f>
        <v>61250000</v>
      </c>
      <c r="R618" s="236">
        <f>Q618/M618*100%</f>
        <v>1</v>
      </c>
      <c r="S618" s="234">
        <f t="shared" ref="S618:V619" si="101">+S619</f>
        <v>0</v>
      </c>
      <c r="T618" s="234">
        <f t="shared" si="101"/>
        <v>0</v>
      </c>
      <c r="U618" s="234">
        <f t="shared" si="101"/>
        <v>61250000</v>
      </c>
      <c r="V618" s="234">
        <f t="shared" si="101"/>
        <v>0</v>
      </c>
    </row>
    <row r="619" spans="1:22" ht="27.95" customHeight="1">
      <c r="A619" s="229" t="s">
        <v>970</v>
      </c>
      <c r="B619" s="229" t="s">
        <v>1002</v>
      </c>
      <c r="C619" s="270">
        <v>91</v>
      </c>
      <c r="D619" s="229"/>
      <c r="E619" s="229"/>
      <c r="F619" s="270"/>
      <c r="G619" s="229" t="s">
        <v>959</v>
      </c>
      <c r="H619" s="230" t="s">
        <v>1455</v>
      </c>
      <c r="I619" s="238" t="s">
        <v>1456</v>
      </c>
      <c r="J619" s="239"/>
      <c r="K619" s="240">
        <v>8</v>
      </c>
      <c r="L619" s="241" t="s">
        <v>1725</v>
      </c>
      <c r="M619" s="234">
        <f>+M620</f>
        <v>61250000</v>
      </c>
      <c r="N619" s="266"/>
      <c r="O619" s="240">
        <v>8</v>
      </c>
      <c r="P619" s="241" t="s">
        <v>1725</v>
      </c>
      <c r="Q619" s="234">
        <f>+Q620</f>
        <v>61250000</v>
      </c>
      <c r="R619" s="236">
        <f>Q619/M619*100%</f>
        <v>1</v>
      </c>
      <c r="S619" s="234">
        <f t="shared" si="101"/>
        <v>0</v>
      </c>
      <c r="T619" s="234">
        <f t="shared" si="101"/>
        <v>0</v>
      </c>
      <c r="U619" s="234">
        <f t="shared" si="101"/>
        <v>61250000</v>
      </c>
      <c r="V619" s="234">
        <f t="shared" si="101"/>
        <v>0</v>
      </c>
    </row>
    <row r="620" spans="1:22" ht="27.95" hidden="1" customHeight="1">
      <c r="A620" s="260" t="s">
        <v>970</v>
      </c>
      <c r="B620" s="260" t="s">
        <v>1002</v>
      </c>
      <c r="C620" s="269" t="s">
        <v>960</v>
      </c>
      <c r="D620" s="244" t="s">
        <v>363</v>
      </c>
      <c r="E620" s="244" t="s">
        <v>970</v>
      </c>
      <c r="F620" s="244" t="s">
        <v>959</v>
      </c>
      <c r="G620" s="244" t="s">
        <v>959</v>
      </c>
      <c r="H620" s="289" t="s">
        <v>133</v>
      </c>
      <c r="I620" s="238"/>
      <c r="J620" s="246"/>
      <c r="K620" s="247"/>
      <c r="L620" s="248"/>
      <c r="M620" s="249">
        <f>M621+M629</f>
        <v>61250000</v>
      </c>
      <c r="N620" s="266"/>
      <c r="O620" s="261"/>
      <c r="P620" s="266"/>
      <c r="Q620" s="249">
        <f>Q621+Q629</f>
        <v>61250000</v>
      </c>
      <c r="R620" s="267" t="str">
        <f t="shared" si="100"/>
        <v/>
      </c>
      <c r="S620" s="249">
        <f>S621+S629</f>
        <v>0</v>
      </c>
      <c r="T620" s="249">
        <f>T621+T629</f>
        <v>0</v>
      </c>
      <c r="U620" s="249">
        <f>U621+U629</f>
        <v>61250000</v>
      </c>
      <c r="V620" s="249">
        <f>V621+V629</f>
        <v>0</v>
      </c>
    </row>
    <row r="621" spans="1:22" ht="27.95" hidden="1" customHeight="1">
      <c r="A621" s="229" t="s">
        <v>970</v>
      </c>
      <c r="B621" s="229" t="s">
        <v>1002</v>
      </c>
      <c r="C621" s="270" t="s">
        <v>960</v>
      </c>
      <c r="D621" s="252" t="s">
        <v>363</v>
      </c>
      <c r="E621" s="252" t="s">
        <v>970</v>
      </c>
      <c r="F621" s="252" t="s">
        <v>362</v>
      </c>
      <c r="G621" s="252" t="s">
        <v>959</v>
      </c>
      <c r="H621" s="253" t="s">
        <v>134</v>
      </c>
      <c r="I621" s="238"/>
      <c r="J621" s="254"/>
      <c r="K621" s="255"/>
      <c r="L621" s="256"/>
      <c r="M621" s="257">
        <f>+SUM(M622:M626)</f>
        <v>1250000</v>
      </c>
      <c r="N621" s="266">
        <v>0</v>
      </c>
      <c r="O621" s="261"/>
      <c r="P621" s="266">
        <v>0</v>
      </c>
      <c r="Q621" s="257">
        <f>+SUM(Q622:Q626)</f>
        <v>1250000</v>
      </c>
      <c r="R621" s="267" t="str">
        <f t="shared" si="100"/>
        <v/>
      </c>
      <c r="S621" s="257">
        <f>+SUM(S622:S626)</f>
        <v>0</v>
      </c>
      <c r="T621" s="257">
        <f>+SUM(T622:T626)</f>
        <v>0</v>
      </c>
      <c r="U621" s="257">
        <f>+SUM(U622:U626)</f>
        <v>1250000</v>
      </c>
      <c r="V621" s="257">
        <f>+SUM(V622:V626)</f>
        <v>0</v>
      </c>
    </row>
    <row r="622" spans="1:22" ht="27.95" hidden="1" customHeight="1">
      <c r="A622" s="260" t="s">
        <v>970</v>
      </c>
      <c r="B622" s="260" t="s">
        <v>1002</v>
      </c>
      <c r="C622" s="269" t="s">
        <v>960</v>
      </c>
      <c r="D622" s="260" t="s">
        <v>363</v>
      </c>
      <c r="E622" s="260" t="s">
        <v>970</v>
      </c>
      <c r="F622" s="260" t="s">
        <v>362</v>
      </c>
      <c r="G622" s="269" t="s">
        <v>960</v>
      </c>
      <c r="H622" s="261" t="s">
        <v>1457</v>
      </c>
      <c r="I622" s="230"/>
      <c r="J622" s="262">
        <v>1</v>
      </c>
      <c r="K622" s="263" t="s">
        <v>1029</v>
      </c>
      <c r="L622" s="264">
        <v>200000</v>
      </c>
      <c r="M622" s="265">
        <f>+J622*L622</f>
        <v>200000</v>
      </c>
      <c r="N622" s="262">
        <v>1</v>
      </c>
      <c r="O622" s="263" t="s">
        <v>1029</v>
      </c>
      <c r="P622" s="264">
        <v>200000</v>
      </c>
      <c r="Q622" s="266">
        <f>+N622*P622</f>
        <v>200000</v>
      </c>
      <c r="R622" s="267">
        <f t="shared" si="100"/>
        <v>1</v>
      </c>
      <c r="S622" s="266">
        <f>+IF(W622="DDS",Q622,0)</f>
        <v>0</v>
      </c>
      <c r="T622" s="266">
        <f>+IF(W622="ADD",Q622,0)</f>
        <v>0</v>
      </c>
      <c r="U622" s="266">
        <f>+IF(W622="DDS",0,IF(W622="ADD",0,Q622))</f>
        <v>200000</v>
      </c>
      <c r="V622" s="266">
        <v>0</v>
      </c>
    </row>
    <row r="623" spans="1:22" ht="27.95" hidden="1" customHeight="1">
      <c r="A623" s="260" t="s">
        <v>970</v>
      </c>
      <c r="B623" s="260" t="s">
        <v>1002</v>
      </c>
      <c r="C623" s="269" t="s">
        <v>960</v>
      </c>
      <c r="D623" s="260" t="s">
        <v>363</v>
      </c>
      <c r="E623" s="260" t="s">
        <v>970</v>
      </c>
      <c r="F623" s="260" t="s">
        <v>362</v>
      </c>
      <c r="G623" s="260" t="s">
        <v>1038</v>
      </c>
      <c r="H623" s="261" t="s">
        <v>251</v>
      </c>
      <c r="I623" s="230"/>
      <c r="J623" s="262">
        <v>1</v>
      </c>
      <c r="K623" s="263" t="s">
        <v>1029</v>
      </c>
      <c r="L623" s="264">
        <v>150000</v>
      </c>
      <c r="M623" s="265">
        <f>+J623*L623</f>
        <v>150000</v>
      </c>
      <c r="N623" s="262">
        <v>1</v>
      </c>
      <c r="O623" s="263" t="s">
        <v>1029</v>
      </c>
      <c r="P623" s="264">
        <v>150000</v>
      </c>
      <c r="Q623" s="266">
        <f>+N623*P623</f>
        <v>150000</v>
      </c>
      <c r="R623" s="267">
        <f t="shared" si="100"/>
        <v>1</v>
      </c>
      <c r="S623" s="266">
        <f>+IF(W623="DDS",Q623,0)</f>
        <v>0</v>
      </c>
      <c r="T623" s="266">
        <f>+IF(W623="ADD",Q623,0)</f>
        <v>0</v>
      </c>
      <c r="U623" s="266">
        <f>+IF(W623="DDS",0,IF(W623="ADD",0,Q623))</f>
        <v>150000</v>
      </c>
      <c r="V623" s="266">
        <v>0</v>
      </c>
    </row>
    <row r="624" spans="1:22" ht="27.95" hidden="1" customHeight="1">
      <c r="A624" s="260" t="s">
        <v>970</v>
      </c>
      <c r="B624" s="260" t="s">
        <v>1002</v>
      </c>
      <c r="C624" s="269" t="s">
        <v>960</v>
      </c>
      <c r="D624" s="260" t="s">
        <v>363</v>
      </c>
      <c r="E624" s="260" t="s">
        <v>970</v>
      </c>
      <c r="F624" s="260" t="s">
        <v>362</v>
      </c>
      <c r="G624" s="260">
        <v>6</v>
      </c>
      <c r="H624" s="261" t="s">
        <v>1458</v>
      </c>
      <c r="I624" s="230"/>
      <c r="J624" s="262">
        <v>30</v>
      </c>
      <c r="K624" s="263" t="s">
        <v>1042</v>
      </c>
      <c r="L624" s="264">
        <v>10000</v>
      </c>
      <c r="M624" s="265">
        <f>+J624*L624</f>
        <v>300000</v>
      </c>
      <c r="N624" s="262">
        <v>30</v>
      </c>
      <c r="O624" s="263" t="s">
        <v>1042</v>
      </c>
      <c r="P624" s="264">
        <v>10000</v>
      </c>
      <c r="Q624" s="266">
        <f>+N624*P624</f>
        <v>300000</v>
      </c>
      <c r="R624" s="267">
        <f t="shared" si="100"/>
        <v>1</v>
      </c>
      <c r="S624" s="266">
        <f>+IF(W624="DDS",Q624,0)</f>
        <v>0</v>
      </c>
      <c r="T624" s="266">
        <f>+IF(W624="ADD",Q624,0)</f>
        <v>0</v>
      </c>
      <c r="U624" s="266">
        <f>+IF(W624="DDS",0,IF(W624="ADD",0,Q624))</f>
        <v>300000</v>
      </c>
      <c r="V624" s="266">
        <v>0</v>
      </c>
    </row>
    <row r="625" spans="1:22" ht="27.95" hidden="1" customHeight="1">
      <c r="A625" s="260" t="s">
        <v>970</v>
      </c>
      <c r="B625" s="260" t="s">
        <v>1002</v>
      </c>
      <c r="C625" s="269" t="s">
        <v>960</v>
      </c>
      <c r="D625" s="229">
        <v>5</v>
      </c>
      <c r="E625" s="229">
        <v>2</v>
      </c>
      <c r="F625" s="229">
        <v>2</v>
      </c>
      <c r="G625" s="229"/>
      <c r="H625" s="238" t="s">
        <v>135</v>
      </c>
      <c r="I625" s="230"/>
      <c r="J625" s="262"/>
      <c r="K625" s="263"/>
      <c r="L625" s="264"/>
      <c r="M625" s="265"/>
      <c r="N625" s="266"/>
      <c r="O625" s="261"/>
      <c r="P625" s="266"/>
      <c r="Q625" s="266"/>
      <c r="R625" s="267"/>
      <c r="S625" s="266"/>
      <c r="T625" s="266"/>
      <c r="U625" s="266"/>
      <c r="V625" s="266"/>
    </row>
    <row r="626" spans="1:22" ht="27.95" hidden="1" customHeight="1">
      <c r="A626" s="260" t="s">
        <v>970</v>
      </c>
      <c r="B626" s="260" t="s">
        <v>1002</v>
      </c>
      <c r="C626" s="269" t="s">
        <v>960</v>
      </c>
      <c r="D626" s="260" t="s">
        <v>363</v>
      </c>
      <c r="E626" s="260" t="s">
        <v>970</v>
      </c>
      <c r="F626" s="260">
        <v>2</v>
      </c>
      <c r="G626" s="269" t="s">
        <v>960</v>
      </c>
      <c r="H626" s="261" t="s">
        <v>1269</v>
      </c>
      <c r="I626" s="230"/>
      <c r="J626" s="262">
        <v>1</v>
      </c>
      <c r="K626" s="263" t="s">
        <v>966</v>
      </c>
      <c r="L626" s="264">
        <v>600000</v>
      </c>
      <c r="M626" s="265">
        <f>+J626*L626</f>
        <v>600000</v>
      </c>
      <c r="N626" s="262">
        <v>1</v>
      </c>
      <c r="O626" s="263" t="s">
        <v>966</v>
      </c>
      <c r="P626" s="264">
        <v>600000</v>
      </c>
      <c r="Q626" s="266">
        <f>+N626*P626</f>
        <v>600000</v>
      </c>
      <c r="R626" s="267">
        <f>IF(J626="","",Q626/M626)</f>
        <v>1</v>
      </c>
      <c r="S626" s="266">
        <f>+IF(W626="DDS",Q626,0)</f>
        <v>0</v>
      </c>
      <c r="T626" s="266">
        <f>+IF(W626="ADD",Q626,0)</f>
        <v>0</v>
      </c>
      <c r="U626" s="266">
        <f>+IF(W626="DDS",0,IF(W626="ADD",0,Q626))</f>
        <v>600000</v>
      </c>
      <c r="V626" s="266">
        <v>0</v>
      </c>
    </row>
    <row r="627" spans="1:22" ht="27.95" hidden="1" customHeight="1">
      <c r="A627" s="260" t="s">
        <v>970</v>
      </c>
      <c r="B627" s="260" t="s">
        <v>1002</v>
      </c>
      <c r="C627" s="269" t="s">
        <v>960</v>
      </c>
      <c r="D627" s="252" t="s">
        <v>363</v>
      </c>
      <c r="E627" s="252" t="s">
        <v>970</v>
      </c>
      <c r="F627" s="252">
        <v>1</v>
      </c>
      <c r="G627" s="252" t="s">
        <v>959</v>
      </c>
      <c r="H627" s="288" t="s">
        <v>140</v>
      </c>
      <c r="I627" s="230"/>
      <c r="J627" s="254"/>
      <c r="K627" s="255"/>
      <c r="L627" s="256"/>
      <c r="M627" s="257">
        <f>+SUM(M628:M628)</f>
        <v>0</v>
      </c>
      <c r="N627" s="266"/>
      <c r="O627" s="261"/>
      <c r="P627" s="266"/>
      <c r="Q627" s="266"/>
      <c r="R627" s="267"/>
      <c r="S627" s="266"/>
      <c r="T627" s="266"/>
      <c r="U627" s="266"/>
      <c r="V627" s="266"/>
    </row>
    <row r="628" spans="1:22" ht="27.95" hidden="1" customHeight="1">
      <c r="A628" s="260" t="s">
        <v>970</v>
      </c>
      <c r="B628" s="260" t="s">
        <v>1002</v>
      </c>
      <c r="C628" s="269" t="s">
        <v>960</v>
      </c>
      <c r="D628" s="260" t="s">
        <v>363</v>
      </c>
      <c r="E628" s="260" t="s">
        <v>970</v>
      </c>
      <c r="F628" s="260">
        <v>7</v>
      </c>
      <c r="G628" s="260">
        <v>99</v>
      </c>
      <c r="H628" s="278" t="s">
        <v>256</v>
      </c>
      <c r="I628" s="230"/>
      <c r="J628" s="262"/>
      <c r="K628" s="263"/>
      <c r="L628" s="264"/>
      <c r="M628" s="265"/>
      <c r="N628" s="266"/>
      <c r="O628" s="261"/>
      <c r="P628" s="266"/>
      <c r="Q628" s="266"/>
      <c r="R628" s="267"/>
      <c r="S628" s="266"/>
      <c r="T628" s="266"/>
      <c r="U628" s="266"/>
      <c r="V628" s="266"/>
    </row>
    <row r="629" spans="1:22" ht="27.95" hidden="1" customHeight="1">
      <c r="A629" s="260"/>
      <c r="B629" s="260"/>
      <c r="C629" s="269"/>
      <c r="D629" s="260"/>
      <c r="E629" s="260"/>
      <c r="F629" s="260"/>
      <c r="G629" s="260"/>
      <c r="H629" s="290" t="s">
        <v>1459</v>
      </c>
      <c r="I629" s="230"/>
      <c r="J629" s="262">
        <v>1</v>
      </c>
      <c r="K629" s="263" t="s">
        <v>1029</v>
      </c>
      <c r="L629" s="264">
        <v>60000000</v>
      </c>
      <c r="M629" s="265">
        <f>+J629*L629</f>
        <v>60000000</v>
      </c>
      <c r="N629" s="266">
        <v>1</v>
      </c>
      <c r="O629" s="261" t="s">
        <v>1029</v>
      </c>
      <c r="P629" s="266">
        <v>60000000</v>
      </c>
      <c r="Q629" s="266">
        <f>+N629*P629</f>
        <v>60000000</v>
      </c>
      <c r="R629" s="267">
        <f>IF(J629="","",Q629/M629)</f>
        <v>1</v>
      </c>
      <c r="S629" s="266">
        <f>+IF(W629="DDS",Q629,0)</f>
        <v>0</v>
      </c>
      <c r="T629" s="266">
        <f>+IF(W629="ADD",Q629,0)</f>
        <v>0</v>
      </c>
      <c r="U629" s="266">
        <f>+IF(W629="DDS",0,IF(W629="ADD",0,Q629))</f>
        <v>60000000</v>
      </c>
      <c r="V629" s="266">
        <v>0</v>
      </c>
    </row>
    <row r="630" spans="1:22" ht="27.95" customHeight="1">
      <c r="A630" s="229" t="s">
        <v>970</v>
      </c>
      <c r="B630" s="229" t="s">
        <v>1040</v>
      </c>
      <c r="C630" s="260"/>
      <c r="D630" s="229"/>
      <c r="E630" s="229"/>
      <c r="F630" s="229" t="s">
        <v>959</v>
      </c>
      <c r="G630" s="229" t="s">
        <v>959</v>
      </c>
      <c r="H630" s="238" t="s">
        <v>168</v>
      </c>
      <c r="I630" s="230"/>
      <c r="J630" s="231"/>
      <c r="K630" s="232"/>
      <c r="L630" s="237"/>
      <c r="M630" s="234">
        <f>+M631</f>
        <v>1500000</v>
      </c>
      <c r="N630" s="266"/>
      <c r="O630" s="261"/>
      <c r="P630" s="266"/>
      <c r="Q630" s="234">
        <f>+Q631</f>
        <v>1350000</v>
      </c>
      <c r="R630" s="236">
        <f>Q630/M630*100%</f>
        <v>0.9</v>
      </c>
      <c r="S630" s="234">
        <f t="shared" ref="S630:V632" si="102">+S631</f>
        <v>0</v>
      </c>
      <c r="T630" s="234">
        <f t="shared" si="102"/>
        <v>0</v>
      </c>
      <c r="U630" s="234">
        <f t="shared" si="102"/>
        <v>1350000</v>
      </c>
      <c r="V630" s="234">
        <f t="shared" si="102"/>
        <v>0</v>
      </c>
    </row>
    <row r="631" spans="1:22" ht="39.75" customHeight="1">
      <c r="A631" s="229" t="s">
        <v>970</v>
      </c>
      <c r="B631" s="229" t="s">
        <v>1040</v>
      </c>
      <c r="C631" s="229" t="s">
        <v>963</v>
      </c>
      <c r="D631" s="229" t="s">
        <v>970</v>
      </c>
      <c r="E631" s="229" t="s">
        <v>1040</v>
      </c>
      <c r="F631" s="229" t="s">
        <v>963</v>
      </c>
      <c r="G631" s="229" t="s">
        <v>959</v>
      </c>
      <c r="H631" s="238" t="s">
        <v>1460</v>
      </c>
      <c r="I631" s="230" t="s">
        <v>1461</v>
      </c>
      <c r="J631" s="239"/>
      <c r="K631" s="240">
        <v>1</v>
      </c>
      <c r="L631" s="241" t="s">
        <v>1538</v>
      </c>
      <c r="M631" s="234">
        <f>+M632</f>
        <v>1500000</v>
      </c>
      <c r="N631" s="266"/>
      <c r="O631" s="240">
        <v>1</v>
      </c>
      <c r="P631" s="241" t="s">
        <v>1538</v>
      </c>
      <c r="Q631" s="234">
        <f>+Q632</f>
        <v>1350000</v>
      </c>
      <c r="R631" s="236">
        <f>Q631/M631*100%</f>
        <v>0.9</v>
      </c>
      <c r="S631" s="234">
        <f t="shared" si="102"/>
        <v>0</v>
      </c>
      <c r="T631" s="234">
        <f t="shared" si="102"/>
        <v>0</v>
      </c>
      <c r="U631" s="234">
        <f t="shared" si="102"/>
        <v>1350000</v>
      </c>
      <c r="V631" s="234">
        <f t="shared" si="102"/>
        <v>0</v>
      </c>
    </row>
    <row r="632" spans="1:22" ht="27.95" hidden="1" customHeight="1">
      <c r="A632" s="260" t="s">
        <v>970</v>
      </c>
      <c r="B632" s="260" t="s">
        <v>1040</v>
      </c>
      <c r="C632" s="260" t="s">
        <v>963</v>
      </c>
      <c r="D632" s="244" t="s">
        <v>363</v>
      </c>
      <c r="E632" s="244" t="s">
        <v>970</v>
      </c>
      <c r="F632" s="244" t="s">
        <v>959</v>
      </c>
      <c r="G632" s="244" t="s">
        <v>959</v>
      </c>
      <c r="H632" s="245" t="s">
        <v>1026</v>
      </c>
      <c r="I632" s="230"/>
      <c r="J632" s="246"/>
      <c r="K632" s="247"/>
      <c r="L632" s="248"/>
      <c r="M632" s="249">
        <f>+M633</f>
        <v>1500000</v>
      </c>
      <c r="N632" s="266"/>
      <c r="O632" s="261"/>
      <c r="P632" s="266"/>
      <c r="Q632" s="249">
        <f>+Q633</f>
        <v>1350000</v>
      </c>
      <c r="R632" s="267" t="str">
        <f t="shared" si="100"/>
        <v/>
      </c>
      <c r="S632" s="249">
        <f t="shared" si="102"/>
        <v>0</v>
      </c>
      <c r="T632" s="249">
        <f t="shared" si="102"/>
        <v>0</v>
      </c>
      <c r="U632" s="249">
        <f t="shared" si="102"/>
        <v>1350000</v>
      </c>
      <c r="V632" s="249">
        <f t="shared" si="102"/>
        <v>0</v>
      </c>
    </row>
    <row r="633" spans="1:22" ht="27.95" hidden="1" customHeight="1">
      <c r="A633" s="229" t="s">
        <v>970</v>
      </c>
      <c r="B633" s="229" t="s">
        <v>1040</v>
      </c>
      <c r="C633" s="229" t="s">
        <v>963</v>
      </c>
      <c r="D633" s="252" t="s">
        <v>363</v>
      </c>
      <c r="E633" s="252" t="s">
        <v>970</v>
      </c>
      <c r="F633" s="252" t="s">
        <v>362</v>
      </c>
      <c r="G633" s="252" t="s">
        <v>959</v>
      </c>
      <c r="H633" s="253" t="s">
        <v>134</v>
      </c>
      <c r="I633" s="230"/>
      <c r="J633" s="254"/>
      <c r="K633" s="255"/>
      <c r="L633" s="256"/>
      <c r="M633" s="257">
        <f>+SUM(M634:M636)</f>
        <v>1500000</v>
      </c>
      <c r="N633" s="266"/>
      <c r="O633" s="261"/>
      <c r="P633" s="266"/>
      <c r="Q633" s="257">
        <f>+SUM(Q634:Q636)</f>
        <v>1350000</v>
      </c>
      <c r="R633" s="267" t="str">
        <f t="shared" si="100"/>
        <v/>
      </c>
      <c r="S633" s="257">
        <f>+SUM(S634:S636)</f>
        <v>0</v>
      </c>
      <c r="T633" s="257">
        <f>+SUM(T634:T636)</f>
        <v>0</v>
      </c>
      <c r="U633" s="257">
        <f>+SUM(U634:U636)</f>
        <v>1350000</v>
      </c>
      <c r="V633" s="257">
        <f>+SUM(V634:V636)</f>
        <v>0</v>
      </c>
    </row>
    <row r="634" spans="1:22" ht="27.95" hidden="1" customHeight="1">
      <c r="A634" s="260" t="s">
        <v>970</v>
      </c>
      <c r="B634" s="260" t="s">
        <v>1040</v>
      </c>
      <c r="C634" s="260" t="s">
        <v>963</v>
      </c>
      <c r="D634" s="260" t="s">
        <v>363</v>
      </c>
      <c r="E634" s="260" t="s">
        <v>970</v>
      </c>
      <c r="F634" s="260" t="s">
        <v>362</v>
      </c>
      <c r="G634" s="260" t="s">
        <v>1038</v>
      </c>
      <c r="H634" s="261" t="s">
        <v>251</v>
      </c>
      <c r="I634" s="230"/>
      <c r="J634" s="262"/>
      <c r="K634" s="263"/>
      <c r="L634" s="264"/>
      <c r="M634" s="265"/>
      <c r="N634" s="266">
        <v>0</v>
      </c>
      <c r="O634" s="261"/>
      <c r="P634" s="266">
        <v>0</v>
      </c>
      <c r="Q634" s="266">
        <f>+N634*P634</f>
        <v>0</v>
      </c>
      <c r="R634" s="267" t="str">
        <f t="shared" si="100"/>
        <v/>
      </c>
      <c r="S634" s="266">
        <f>+IF(W634="DDS",Q634,0)</f>
        <v>0</v>
      </c>
      <c r="T634" s="266">
        <f>+IF(W634="ADD",Q634,0)</f>
        <v>0</v>
      </c>
      <c r="U634" s="266">
        <f>+IF(W634="DDS",0,IF(W634="ADD",0,Q634))</f>
        <v>0</v>
      </c>
      <c r="V634" s="266">
        <v>0</v>
      </c>
    </row>
    <row r="635" spans="1:22" ht="27.95" hidden="1" customHeight="1">
      <c r="A635" s="252"/>
      <c r="B635" s="252"/>
      <c r="C635" s="252"/>
      <c r="D635" s="260"/>
      <c r="E635" s="260"/>
      <c r="F635" s="260"/>
      <c r="G635" s="260"/>
      <c r="H635" s="268" t="s">
        <v>1462</v>
      </c>
      <c r="I635" s="230"/>
      <c r="J635" s="262">
        <v>24</v>
      </c>
      <c r="K635" s="263" t="s">
        <v>1275</v>
      </c>
      <c r="L635" s="264">
        <v>25000</v>
      </c>
      <c r="M635" s="265">
        <f>+J635*L635</f>
        <v>600000</v>
      </c>
      <c r="N635" s="266">
        <v>12</v>
      </c>
      <c r="O635" s="261" t="s">
        <v>1275</v>
      </c>
      <c r="P635" s="266">
        <v>25000</v>
      </c>
      <c r="Q635" s="266">
        <f>+N635*P635</f>
        <v>300000</v>
      </c>
      <c r="R635" s="267">
        <f t="shared" si="100"/>
        <v>0.5</v>
      </c>
      <c r="S635" s="266">
        <f>+IF(W635="DDS",Q635,0)</f>
        <v>0</v>
      </c>
      <c r="T635" s="266">
        <f>+IF(W635="ADD",Q635,0)</f>
        <v>0</v>
      </c>
      <c r="U635" s="266">
        <f>+IF(W635="DDS",0,IF(W635="ADD",0,Q635))</f>
        <v>300000</v>
      </c>
      <c r="V635" s="266">
        <v>0</v>
      </c>
    </row>
    <row r="636" spans="1:22" ht="27.95" hidden="1" customHeight="1">
      <c r="A636" s="260"/>
      <c r="B636" s="260"/>
      <c r="C636" s="260"/>
      <c r="D636" s="260"/>
      <c r="E636" s="260"/>
      <c r="F636" s="260"/>
      <c r="G636" s="260"/>
      <c r="H636" s="268" t="s">
        <v>1463</v>
      </c>
      <c r="I636" s="238"/>
      <c r="J636" s="262">
        <v>36</v>
      </c>
      <c r="K636" s="263" t="s">
        <v>1275</v>
      </c>
      <c r="L636" s="264">
        <v>25000</v>
      </c>
      <c r="M636" s="265">
        <f>+J636*L636</f>
        <v>900000</v>
      </c>
      <c r="N636" s="266">
        <v>42</v>
      </c>
      <c r="O636" s="261" t="s">
        <v>1275</v>
      </c>
      <c r="P636" s="266">
        <v>25000</v>
      </c>
      <c r="Q636" s="266">
        <f>+N636*P636</f>
        <v>1050000</v>
      </c>
      <c r="R636" s="267">
        <f t="shared" si="100"/>
        <v>1.1666666666666667</v>
      </c>
      <c r="S636" s="266">
        <f>+IF(W636="DDS",Q636,0)</f>
        <v>0</v>
      </c>
      <c r="T636" s="266">
        <f>+IF(W636="ADD",Q636,0)</f>
        <v>0</v>
      </c>
      <c r="U636" s="266">
        <f>+IF(W636="DDS",0,IF(W636="ADD",0,Q636))</f>
        <v>1050000</v>
      </c>
      <c r="V636" s="266">
        <v>0</v>
      </c>
    </row>
    <row r="637" spans="1:22" ht="27.95" customHeight="1">
      <c r="A637" s="229" t="s">
        <v>970</v>
      </c>
      <c r="B637" s="270" t="s">
        <v>1043</v>
      </c>
      <c r="C637" s="260"/>
      <c r="D637" s="229"/>
      <c r="E637" s="229"/>
      <c r="F637" s="229"/>
      <c r="G637" s="229" t="s">
        <v>959</v>
      </c>
      <c r="H637" s="238" t="s">
        <v>170</v>
      </c>
      <c r="I637" s="238"/>
      <c r="J637" s="231"/>
      <c r="K637" s="232"/>
      <c r="L637" s="237"/>
      <c r="M637" s="234">
        <f>M638</f>
        <v>48600000</v>
      </c>
      <c r="N637" s="266">
        <v>0</v>
      </c>
      <c r="O637" s="261"/>
      <c r="P637" s="266">
        <v>0</v>
      </c>
      <c r="Q637" s="234">
        <f>Q638</f>
        <v>48450000</v>
      </c>
      <c r="R637" s="236">
        <f>Q637/M637*100%</f>
        <v>0.99691358024691357</v>
      </c>
      <c r="S637" s="234">
        <f t="shared" ref="S637:V639" si="103">S638</f>
        <v>0</v>
      </c>
      <c r="T637" s="234">
        <f t="shared" si="103"/>
        <v>0</v>
      </c>
      <c r="U637" s="234">
        <f t="shared" si="103"/>
        <v>48450000</v>
      </c>
      <c r="V637" s="234">
        <f t="shared" si="103"/>
        <v>0</v>
      </c>
    </row>
    <row r="638" spans="1:22" ht="27.95" customHeight="1">
      <c r="A638" s="229" t="s">
        <v>970</v>
      </c>
      <c r="B638" s="270" t="s">
        <v>1043</v>
      </c>
      <c r="C638" s="229">
        <v>93</v>
      </c>
      <c r="D638" s="229" t="s">
        <v>970</v>
      </c>
      <c r="E638" s="270" t="s">
        <v>1043</v>
      </c>
      <c r="F638" s="270" t="s">
        <v>963</v>
      </c>
      <c r="G638" s="229" t="s">
        <v>959</v>
      </c>
      <c r="H638" s="238" t="s">
        <v>1464</v>
      </c>
      <c r="I638" s="238" t="s">
        <v>1465</v>
      </c>
      <c r="J638" s="239"/>
      <c r="K638" s="240">
        <v>1</v>
      </c>
      <c r="L638" s="241" t="s">
        <v>1538</v>
      </c>
      <c r="M638" s="234">
        <f>M639</f>
        <v>48600000</v>
      </c>
      <c r="N638" s="266">
        <v>0</v>
      </c>
      <c r="O638" s="240">
        <v>1</v>
      </c>
      <c r="P638" s="241" t="s">
        <v>1538</v>
      </c>
      <c r="Q638" s="234">
        <f>Q639</f>
        <v>48450000</v>
      </c>
      <c r="R638" s="236">
        <f>Q638/M638*100%</f>
        <v>0.99691358024691357</v>
      </c>
      <c r="S638" s="234">
        <f t="shared" si="103"/>
        <v>0</v>
      </c>
      <c r="T638" s="234">
        <f t="shared" si="103"/>
        <v>0</v>
      </c>
      <c r="U638" s="234">
        <f t="shared" si="103"/>
        <v>48450000</v>
      </c>
      <c r="V638" s="234">
        <f t="shared" si="103"/>
        <v>0</v>
      </c>
    </row>
    <row r="639" spans="1:22" ht="27.95" hidden="1" customHeight="1">
      <c r="A639" s="260" t="s">
        <v>970</v>
      </c>
      <c r="B639" s="269" t="s">
        <v>1043</v>
      </c>
      <c r="C639" s="260">
        <v>93</v>
      </c>
      <c r="D639" s="244" t="s">
        <v>363</v>
      </c>
      <c r="E639" s="244">
        <v>3</v>
      </c>
      <c r="F639" s="244" t="s">
        <v>959</v>
      </c>
      <c r="G639" s="244" t="s">
        <v>959</v>
      </c>
      <c r="H639" s="245" t="s">
        <v>141</v>
      </c>
      <c r="I639" s="238"/>
      <c r="J639" s="246"/>
      <c r="K639" s="247"/>
      <c r="L639" s="248"/>
      <c r="M639" s="249">
        <f>M640</f>
        <v>48600000</v>
      </c>
      <c r="N639" s="266">
        <v>0</v>
      </c>
      <c r="O639" s="261"/>
      <c r="P639" s="266">
        <v>0</v>
      </c>
      <c r="Q639" s="249">
        <f>Q640</f>
        <v>48450000</v>
      </c>
      <c r="R639" s="267" t="str">
        <f t="shared" si="100"/>
        <v/>
      </c>
      <c r="S639" s="249">
        <f t="shared" si="103"/>
        <v>0</v>
      </c>
      <c r="T639" s="249">
        <f t="shared" si="103"/>
        <v>0</v>
      </c>
      <c r="U639" s="249">
        <f t="shared" si="103"/>
        <v>48450000</v>
      </c>
      <c r="V639" s="249">
        <f t="shared" si="103"/>
        <v>0</v>
      </c>
    </row>
    <row r="640" spans="1:22" ht="27.95" hidden="1" customHeight="1">
      <c r="A640" s="229" t="s">
        <v>970</v>
      </c>
      <c r="B640" s="270" t="s">
        <v>1043</v>
      </c>
      <c r="C640" s="229">
        <v>93</v>
      </c>
      <c r="D640" s="252">
        <v>5</v>
      </c>
      <c r="E640" s="252">
        <v>3</v>
      </c>
      <c r="F640" s="252">
        <v>4</v>
      </c>
      <c r="G640" s="252" t="s">
        <v>959</v>
      </c>
      <c r="H640" s="253" t="s">
        <v>145</v>
      </c>
      <c r="I640" s="238"/>
      <c r="J640" s="254"/>
      <c r="K640" s="255"/>
      <c r="L640" s="256"/>
      <c r="M640" s="257">
        <f>SUM(M641:M647)</f>
        <v>48600000</v>
      </c>
      <c r="N640" s="266">
        <v>0</v>
      </c>
      <c r="O640" s="261"/>
      <c r="P640" s="266">
        <v>0</v>
      </c>
      <c r="Q640" s="257">
        <f>SUM(Q641:Q647)</f>
        <v>48450000</v>
      </c>
      <c r="R640" s="267" t="str">
        <f t="shared" si="100"/>
        <v/>
      </c>
      <c r="S640" s="257">
        <f>SUM(S641:S647)</f>
        <v>0</v>
      </c>
      <c r="T640" s="257">
        <f>SUM(T641:T647)</f>
        <v>0</v>
      </c>
      <c r="U640" s="257">
        <f>SUM(U641:U647)</f>
        <v>48450000</v>
      </c>
      <c r="V640" s="257">
        <f>SUM(V641:V647)</f>
        <v>0</v>
      </c>
    </row>
    <row r="641" spans="1:22" ht="27.95" hidden="1" customHeight="1">
      <c r="A641" s="260" t="s">
        <v>970</v>
      </c>
      <c r="B641" s="269" t="s">
        <v>1043</v>
      </c>
      <c r="C641" s="260">
        <v>93</v>
      </c>
      <c r="D641" s="260" t="s">
        <v>363</v>
      </c>
      <c r="E641" s="260">
        <v>3</v>
      </c>
      <c r="F641" s="260">
        <v>4</v>
      </c>
      <c r="G641" s="269" t="s">
        <v>960</v>
      </c>
      <c r="H641" s="278" t="s">
        <v>541</v>
      </c>
      <c r="I641" s="238"/>
      <c r="J641" s="262">
        <v>1</v>
      </c>
      <c r="K641" s="263" t="s">
        <v>967</v>
      </c>
      <c r="L641" s="264">
        <v>600000</v>
      </c>
      <c r="M641" s="265">
        <f>+J641*L641</f>
        <v>600000</v>
      </c>
      <c r="N641" s="262">
        <v>1</v>
      </c>
      <c r="O641" s="263" t="s">
        <v>967</v>
      </c>
      <c r="P641" s="264">
        <v>600000</v>
      </c>
      <c r="Q641" s="266">
        <f t="shared" ref="Q641:Q647" si="104">+N641*P641</f>
        <v>600000</v>
      </c>
      <c r="R641" s="267">
        <f t="shared" si="100"/>
        <v>1</v>
      </c>
      <c r="S641" s="266">
        <f t="shared" ref="S641:S647" si="105">+IF(W641="DDS",Q641,0)</f>
        <v>0</v>
      </c>
      <c r="T641" s="266">
        <f t="shared" ref="T641:T647" si="106">+IF(W641="ADD",Q641,0)</f>
        <v>0</v>
      </c>
      <c r="U641" s="266">
        <f t="shared" ref="U641:U647" si="107">+IF(W641="DDS",0,IF(W641="ADD",0,Q641))</f>
        <v>600000</v>
      </c>
      <c r="V641" s="266">
        <v>0</v>
      </c>
    </row>
    <row r="642" spans="1:22" ht="27.95" hidden="1" customHeight="1">
      <c r="A642" s="260" t="s">
        <v>970</v>
      </c>
      <c r="B642" s="269" t="s">
        <v>1043</v>
      </c>
      <c r="C642" s="260">
        <v>93</v>
      </c>
      <c r="D642" s="260">
        <v>5</v>
      </c>
      <c r="E642" s="260">
        <v>3</v>
      </c>
      <c r="F642" s="260">
        <v>4</v>
      </c>
      <c r="G642" s="269" t="s">
        <v>963</v>
      </c>
      <c r="H642" s="278" t="s">
        <v>1466</v>
      </c>
      <c r="I642" s="238"/>
      <c r="J642" s="262"/>
      <c r="K642" s="263"/>
      <c r="L642" s="264"/>
      <c r="M642" s="265"/>
      <c r="N642" s="266">
        <v>0</v>
      </c>
      <c r="O642" s="261"/>
      <c r="P642" s="266">
        <v>0</v>
      </c>
      <c r="Q642" s="266">
        <f t="shared" si="104"/>
        <v>0</v>
      </c>
      <c r="R642" s="267" t="str">
        <f t="shared" si="100"/>
        <v/>
      </c>
      <c r="S642" s="266">
        <f t="shared" si="105"/>
        <v>0</v>
      </c>
      <c r="T642" s="266">
        <f t="shared" si="106"/>
        <v>0</v>
      </c>
      <c r="U642" s="266">
        <f t="shared" si="107"/>
        <v>0</v>
      </c>
      <c r="V642" s="266">
        <v>0</v>
      </c>
    </row>
    <row r="643" spans="1:22" ht="27.95" hidden="1" customHeight="1">
      <c r="A643" s="260" t="s">
        <v>970</v>
      </c>
      <c r="B643" s="269" t="s">
        <v>1043</v>
      </c>
      <c r="C643" s="260">
        <v>93</v>
      </c>
      <c r="D643" s="260"/>
      <c r="E643" s="260"/>
      <c r="F643" s="260"/>
      <c r="G643" s="269"/>
      <c r="H643" s="290" t="s">
        <v>1467</v>
      </c>
      <c r="I643" s="230"/>
      <c r="J643" s="262">
        <v>1</v>
      </c>
      <c r="K643" s="263" t="s">
        <v>1029</v>
      </c>
      <c r="L643" s="264">
        <v>11430000</v>
      </c>
      <c r="M643" s="265">
        <f>+J643*L643</f>
        <v>11430000</v>
      </c>
      <c r="N643" s="266">
        <v>1</v>
      </c>
      <c r="O643" s="261" t="s">
        <v>1029</v>
      </c>
      <c r="P643" s="266">
        <f>7050000+4230000</f>
        <v>11280000</v>
      </c>
      <c r="Q643" s="266">
        <f t="shared" si="104"/>
        <v>11280000</v>
      </c>
      <c r="R643" s="267">
        <f t="shared" si="100"/>
        <v>0.98687664041994749</v>
      </c>
      <c r="S643" s="266">
        <f t="shared" si="105"/>
        <v>0</v>
      </c>
      <c r="T643" s="266">
        <f t="shared" si="106"/>
        <v>0</v>
      </c>
      <c r="U643" s="266">
        <f t="shared" si="107"/>
        <v>11280000</v>
      </c>
      <c r="V643" s="266">
        <v>0</v>
      </c>
    </row>
    <row r="644" spans="1:22" ht="27.95" hidden="1" customHeight="1">
      <c r="A644" s="260" t="s">
        <v>970</v>
      </c>
      <c r="B644" s="269" t="s">
        <v>1043</v>
      </c>
      <c r="C644" s="260">
        <v>93</v>
      </c>
      <c r="D644" s="260">
        <v>5</v>
      </c>
      <c r="E644" s="260">
        <v>3</v>
      </c>
      <c r="F644" s="260">
        <v>4</v>
      </c>
      <c r="G644" s="269" t="s">
        <v>995</v>
      </c>
      <c r="H644" s="290" t="s">
        <v>1468</v>
      </c>
      <c r="I644" s="238"/>
      <c r="J644" s="262"/>
      <c r="K644" s="263"/>
      <c r="L644" s="264"/>
      <c r="M644" s="265"/>
      <c r="N644" s="266">
        <v>0</v>
      </c>
      <c r="O644" s="261"/>
      <c r="P644" s="266">
        <v>0</v>
      </c>
      <c r="Q644" s="266">
        <f t="shared" si="104"/>
        <v>0</v>
      </c>
      <c r="R644" s="267" t="str">
        <f t="shared" si="100"/>
        <v/>
      </c>
      <c r="S644" s="266">
        <f t="shared" si="105"/>
        <v>0</v>
      </c>
      <c r="T644" s="266">
        <f t="shared" si="106"/>
        <v>0</v>
      </c>
      <c r="U644" s="266">
        <f t="shared" si="107"/>
        <v>0</v>
      </c>
      <c r="V644" s="266">
        <v>0</v>
      </c>
    </row>
    <row r="645" spans="1:22" ht="27.95" hidden="1" customHeight="1">
      <c r="A645" s="229"/>
      <c r="B645" s="229"/>
      <c r="C645" s="229"/>
      <c r="D645" s="260"/>
      <c r="E645" s="260"/>
      <c r="F645" s="260"/>
      <c r="G645" s="269"/>
      <c r="H645" s="290" t="s">
        <v>1469</v>
      </c>
      <c r="I645" s="238"/>
      <c r="J645" s="262">
        <v>1</v>
      </c>
      <c r="K645" s="263" t="s">
        <v>1029</v>
      </c>
      <c r="L645" s="264">
        <v>36321000</v>
      </c>
      <c r="M645" s="265">
        <f>+J645*L645</f>
        <v>36321000</v>
      </c>
      <c r="N645" s="266">
        <v>1</v>
      </c>
      <c r="O645" s="261" t="s">
        <v>1029</v>
      </c>
      <c r="P645" s="266">
        <f>35271000+250000+200000+350000+250000</f>
        <v>36321000</v>
      </c>
      <c r="Q645" s="266">
        <f t="shared" si="104"/>
        <v>36321000</v>
      </c>
      <c r="R645" s="267">
        <f t="shared" si="100"/>
        <v>1</v>
      </c>
      <c r="S645" s="266">
        <f t="shared" si="105"/>
        <v>0</v>
      </c>
      <c r="T645" s="266">
        <f t="shared" si="106"/>
        <v>0</v>
      </c>
      <c r="U645" s="266">
        <f t="shared" si="107"/>
        <v>36321000</v>
      </c>
      <c r="V645" s="266">
        <v>0</v>
      </c>
    </row>
    <row r="646" spans="1:22" ht="27.95" hidden="1" customHeight="1">
      <c r="A646" s="229"/>
      <c r="B646" s="229"/>
      <c r="C646" s="229"/>
      <c r="D646" s="260">
        <v>5</v>
      </c>
      <c r="E646" s="260">
        <v>3</v>
      </c>
      <c r="F646" s="260">
        <v>4</v>
      </c>
      <c r="G646" s="269" t="s">
        <v>1038</v>
      </c>
      <c r="H646" s="290" t="s">
        <v>1470</v>
      </c>
      <c r="I646" s="238"/>
      <c r="J646" s="262"/>
      <c r="K646" s="263"/>
      <c r="L646" s="264"/>
      <c r="M646" s="265"/>
      <c r="N646" s="266">
        <v>0</v>
      </c>
      <c r="O646" s="261"/>
      <c r="P646" s="266">
        <v>0</v>
      </c>
      <c r="Q646" s="266">
        <f t="shared" si="104"/>
        <v>0</v>
      </c>
      <c r="R646" s="267" t="str">
        <f t="shared" si="100"/>
        <v/>
      </c>
      <c r="S646" s="266">
        <f t="shared" si="105"/>
        <v>0</v>
      </c>
      <c r="T646" s="266">
        <f t="shared" si="106"/>
        <v>0</v>
      </c>
      <c r="U646" s="266">
        <f t="shared" si="107"/>
        <v>0</v>
      </c>
      <c r="V646" s="266">
        <v>0</v>
      </c>
    </row>
    <row r="647" spans="1:22" ht="27.95" hidden="1" customHeight="1">
      <c r="A647" s="260" t="s">
        <v>970</v>
      </c>
      <c r="B647" s="269" t="s">
        <v>1043</v>
      </c>
      <c r="C647" s="260">
        <v>93</v>
      </c>
      <c r="D647" s="260"/>
      <c r="E647" s="260"/>
      <c r="F647" s="260"/>
      <c r="G647" s="269"/>
      <c r="H647" s="290" t="s">
        <v>1471</v>
      </c>
      <c r="I647" s="238"/>
      <c r="J647" s="262">
        <v>1</v>
      </c>
      <c r="K647" s="263" t="s">
        <v>1029</v>
      </c>
      <c r="L647" s="264">
        <v>249000</v>
      </c>
      <c r="M647" s="265">
        <f>+J647*L647</f>
        <v>249000</v>
      </c>
      <c r="N647" s="262">
        <v>1</v>
      </c>
      <c r="O647" s="263" t="s">
        <v>1029</v>
      </c>
      <c r="P647" s="264">
        <v>249000</v>
      </c>
      <c r="Q647" s="266">
        <f t="shared" si="104"/>
        <v>249000</v>
      </c>
      <c r="R647" s="267">
        <f t="shared" si="100"/>
        <v>1</v>
      </c>
      <c r="S647" s="266">
        <f t="shared" si="105"/>
        <v>0</v>
      </c>
      <c r="T647" s="266">
        <f t="shared" si="106"/>
        <v>0</v>
      </c>
      <c r="U647" s="266">
        <f t="shared" si="107"/>
        <v>249000</v>
      </c>
      <c r="V647" s="266">
        <v>0</v>
      </c>
    </row>
    <row r="648" spans="1:22" ht="27.95" customHeight="1">
      <c r="A648" s="229" t="s">
        <v>997</v>
      </c>
      <c r="B648" s="229"/>
      <c r="C648" s="229"/>
      <c r="D648" s="229"/>
      <c r="E648" s="229" t="s">
        <v>959</v>
      </c>
      <c r="F648" s="229" t="s">
        <v>959</v>
      </c>
      <c r="G648" s="229" t="s">
        <v>959</v>
      </c>
      <c r="H648" s="238" t="s">
        <v>1472</v>
      </c>
      <c r="I648" s="238"/>
      <c r="J648" s="231"/>
      <c r="K648" s="232"/>
      <c r="L648" s="237"/>
      <c r="M648" s="234">
        <f>+M697+M706+M649+M685</f>
        <v>80605000</v>
      </c>
      <c r="N648" s="266">
        <v>0</v>
      </c>
      <c r="O648" s="261"/>
      <c r="P648" s="266">
        <v>0</v>
      </c>
      <c r="Q648" s="234">
        <f>Q649+Q685+Q697+Q706</f>
        <v>70415000</v>
      </c>
      <c r="R648" s="236">
        <f>Q648/M648*100%</f>
        <v>0.87358104335959308</v>
      </c>
      <c r="S648" s="234">
        <f>S649+S685+S697+S706</f>
        <v>2380000</v>
      </c>
      <c r="T648" s="234">
        <f>T649+T685+T697+T706</f>
        <v>0</v>
      </c>
      <c r="U648" s="234">
        <f>U649+U685+U697+U706</f>
        <v>66985000</v>
      </c>
      <c r="V648" s="234">
        <f>V649+V685+V697+V706</f>
        <v>0</v>
      </c>
    </row>
    <row r="649" spans="1:22" ht="27.95" customHeight="1">
      <c r="A649" s="229" t="s">
        <v>997</v>
      </c>
      <c r="B649" s="270" t="s">
        <v>960</v>
      </c>
      <c r="C649" s="244"/>
      <c r="D649" s="229"/>
      <c r="E649" s="229"/>
      <c r="F649" s="229" t="s">
        <v>959</v>
      </c>
      <c r="G649" s="229" t="s">
        <v>959</v>
      </c>
      <c r="H649" s="238" t="s">
        <v>1473</v>
      </c>
      <c r="I649" s="238"/>
      <c r="J649" s="231"/>
      <c r="K649" s="232"/>
      <c r="L649" s="237"/>
      <c r="M649" s="234">
        <f>+M661+M672+M650</f>
        <v>12425000</v>
      </c>
      <c r="N649" s="234">
        <f>+N661+N672+N650</f>
        <v>0</v>
      </c>
      <c r="O649" s="234">
        <f>+O661+O672+O650</f>
        <v>0</v>
      </c>
      <c r="P649" s="234">
        <f>+P661+P672+P650</f>
        <v>0</v>
      </c>
      <c r="Q649" s="234">
        <f>Q650+Q661+Q672</f>
        <v>5600000</v>
      </c>
      <c r="R649" s="236">
        <f>Q649/M649*100%</f>
        <v>0.45070422535211269</v>
      </c>
      <c r="S649" s="234">
        <f>S650+S661+S672</f>
        <v>2380000</v>
      </c>
      <c r="T649" s="234">
        <f>T650+T661+T672</f>
        <v>0</v>
      </c>
      <c r="U649" s="234">
        <f>U650+U661+U672</f>
        <v>2170000</v>
      </c>
      <c r="V649" s="234">
        <f>V650+V661+V672</f>
        <v>0</v>
      </c>
    </row>
    <row r="650" spans="1:22" ht="27.95" hidden="1" customHeight="1">
      <c r="A650" s="229" t="s">
        <v>997</v>
      </c>
      <c r="B650" s="270" t="s">
        <v>960</v>
      </c>
      <c r="C650" s="270" t="s">
        <v>995</v>
      </c>
      <c r="D650" s="229"/>
      <c r="E650" s="270"/>
      <c r="F650" s="270"/>
      <c r="G650" s="229" t="s">
        <v>959</v>
      </c>
      <c r="H650" s="238" t="s">
        <v>1474</v>
      </c>
      <c r="I650" s="238" t="s">
        <v>1475</v>
      </c>
      <c r="J650" s="239"/>
      <c r="K650" s="240"/>
      <c r="L650" s="241"/>
      <c r="M650" s="234">
        <f>+M651</f>
        <v>2380000</v>
      </c>
      <c r="N650" s="234">
        <f>+N651</f>
        <v>0</v>
      </c>
      <c r="O650" s="234">
        <f>+O651</f>
        <v>0</v>
      </c>
      <c r="P650" s="234">
        <f>+P651</f>
        <v>0</v>
      </c>
      <c r="Q650" s="234">
        <f>+Q651</f>
        <v>2380000</v>
      </c>
      <c r="R650" s="267"/>
      <c r="S650" s="234">
        <f>+S651</f>
        <v>2380000</v>
      </c>
      <c r="T650" s="234">
        <f>+T651</f>
        <v>0</v>
      </c>
      <c r="U650" s="234">
        <f>+U651</f>
        <v>0</v>
      </c>
      <c r="V650" s="234">
        <f>+V651</f>
        <v>0</v>
      </c>
    </row>
    <row r="651" spans="1:22" ht="27.95" hidden="1" customHeight="1">
      <c r="A651" s="229" t="s">
        <v>997</v>
      </c>
      <c r="B651" s="270" t="s">
        <v>960</v>
      </c>
      <c r="C651" s="270" t="s">
        <v>995</v>
      </c>
      <c r="D651" s="244" t="s">
        <v>363</v>
      </c>
      <c r="E651" s="244" t="s">
        <v>970</v>
      </c>
      <c r="F651" s="244" t="s">
        <v>959</v>
      </c>
      <c r="G651" s="244" t="s">
        <v>959</v>
      </c>
      <c r="H651" s="245" t="s">
        <v>1026</v>
      </c>
      <c r="I651" s="238"/>
      <c r="J651" s="246"/>
      <c r="K651" s="247"/>
      <c r="L651" s="248"/>
      <c r="M651" s="249">
        <f>+M652+M658</f>
        <v>2380000</v>
      </c>
      <c r="N651" s="266"/>
      <c r="O651" s="261"/>
      <c r="P651" s="266"/>
      <c r="Q651" s="249">
        <f>+Q652+Q658</f>
        <v>2380000</v>
      </c>
      <c r="R651" s="267"/>
      <c r="S651" s="249">
        <f>+S652+S658</f>
        <v>2380000</v>
      </c>
      <c r="T651" s="249">
        <f>+T652+T658</f>
        <v>0</v>
      </c>
      <c r="U651" s="249">
        <f>+U652+U658</f>
        <v>0</v>
      </c>
      <c r="V651" s="249">
        <f>+V652+V658</f>
        <v>0</v>
      </c>
    </row>
    <row r="652" spans="1:22" ht="27.95" hidden="1" customHeight="1">
      <c r="A652" s="229" t="s">
        <v>997</v>
      </c>
      <c r="B652" s="270" t="s">
        <v>960</v>
      </c>
      <c r="C652" s="270" t="s">
        <v>995</v>
      </c>
      <c r="D652" s="252" t="s">
        <v>363</v>
      </c>
      <c r="E652" s="252" t="s">
        <v>970</v>
      </c>
      <c r="F652" s="252" t="s">
        <v>362</v>
      </c>
      <c r="G652" s="252" t="s">
        <v>959</v>
      </c>
      <c r="H652" s="253" t="s">
        <v>134</v>
      </c>
      <c r="I652" s="238"/>
      <c r="J652" s="254"/>
      <c r="K652" s="255"/>
      <c r="L652" s="256"/>
      <c r="M652" s="257">
        <f>+SUM(M653:M657)</f>
        <v>1480000</v>
      </c>
      <c r="N652" s="266"/>
      <c r="O652" s="261"/>
      <c r="P652" s="266"/>
      <c r="Q652" s="257">
        <f>+SUM(Q653:Q660)</f>
        <v>2380000</v>
      </c>
      <c r="R652" s="267"/>
      <c r="S652" s="257">
        <f>+SUM(S653:S660)</f>
        <v>2380000</v>
      </c>
      <c r="T652" s="257">
        <f>+SUM(T653:T657)</f>
        <v>0</v>
      </c>
      <c r="U652" s="257">
        <f>+SUM(U653:U657)</f>
        <v>0</v>
      </c>
      <c r="V652" s="257">
        <f>+SUM(V653:V657)</f>
        <v>0</v>
      </c>
    </row>
    <row r="653" spans="1:22" ht="27.95" hidden="1" customHeight="1">
      <c r="A653" s="229" t="s">
        <v>997</v>
      </c>
      <c r="B653" s="270" t="s">
        <v>960</v>
      </c>
      <c r="C653" s="270" t="s">
        <v>995</v>
      </c>
      <c r="D653" s="260" t="s">
        <v>363</v>
      </c>
      <c r="E653" s="260" t="s">
        <v>970</v>
      </c>
      <c r="F653" s="260" t="s">
        <v>362</v>
      </c>
      <c r="G653" s="260" t="s">
        <v>960</v>
      </c>
      <c r="H653" s="261" t="s">
        <v>245</v>
      </c>
      <c r="I653" s="238"/>
      <c r="J653" s="262">
        <v>1</v>
      </c>
      <c r="K653" s="263" t="s">
        <v>1029</v>
      </c>
      <c r="L653" s="264">
        <v>150000</v>
      </c>
      <c r="M653" s="265">
        <f>+J653*L653</f>
        <v>150000</v>
      </c>
      <c r="N653" s="262">
        <v>1</v>
      </c>
      <c r="O653" s="263" t="s">
        <v>1029</v>
      </c>
      <c r="P653" s="264">
        <v>150000</v>
      </c>
      <c r="Q653" s="266">
        <f>+N653*P653</f>
        <v>150000</v>
      </c>
      <c r="R653" s="267">
        <f t="shared" si="100"/>
        <v>1</v>
      </c>
      <c r="S653" s="266">
        <f>+P653*R653</f>
        <v>150000</v>
      </c>
      <c r="T653" s="261"/>
      <c r="U653" s="266">
        <v>0</v>
      </c>
      <c r="V653" s="249">
        <f>+V654+V660</f>
        <v>0</v>
      </c>
    </row>
    <row r="654" spans="1:22" ht="27.95" hidden="1" customHeight="1">
      <c r="A654" s="229" t="s">
        <v>997</v>
      </c>
      <c r="B654" s="270" t="s">
        <v>960</v>
      </c>
      <c r="C654" s="270" t="s">
        <v>995</v>
      </c>
      <c r="D654" s="260" t="s">
        <v>363</v>
      </c>
      <c r="E654" s="260" t="s">
        <v>970</v>
      </c>
      <c r="F654" s="260" t="s">
        <v>362</v>
      </c>
      <c r="G654" s="260" t="s">
        <v>1038</v>
      </c>
      <c r="H654" s="278" t="s">
        <v>1090</v>
      </c>
      <c r="I654" s="238"/>
      <c r="J654" s="262">
        <v>1</v>
      </c>
      <c r="K654" s="263" t="s">
        <v>1029</v>
      </c>
      <c r="L654" s="264">
        <v>100000</v>
      </c>
      <c r="M654" s="265">
        <f>+J654*L654</f>
        <v>100000</v>
      </c>
      <c r="N654" s="262">
        <v>1</v>
      </c>
      <c r="O654" s="263" t="s">
        <v>1029</v>
      </c>
      <c r="P654" s="264">
        <v>100000</v>
      </c>
      <c r="Q654" s="266">
        <f>+N654*P654</f>
        <v>100000</v>
      </c>
      <c r="R654" s="267">
        <f t="shared" si="100"/>
        <v>1</v>
      </c>
      <c r="S654" s="266">
        <f>+P654*R654</f>
        <v>100000</v>
      </c>
      <c r="T654" s="261"/>
      <c r="U654" s="266">
        <v>0</v>
      </c>
      <c r="V654" s="249">
        <f>+V655+V661</f>
        <v>0</v>
      </c>
    </row>
    <row r="655" spans="1:22" ht="27.95" hidden="1" customHeight="1">
      <c r="A655" s="229" t="s">
        <v>997</v>
      </c>
      <c r="B655" s="270" t="s">
        <v>960</v>
      </c>
      <c r="C655" s="270" t="s">
        <v>995</v>
      </c>
      <c r="D655" s="260" t="s">
        <v>363</v>
      </c>
      <c r="E655" s="260" t="s">
        <v>970</v>
      </c>
      <c r="F655" s="260" t="s">
        <v>362</v>
      </c>
      <c r="G655" s="260" t="s">
        <v>1040</v>
      </c>
      <c r="H655" s="261" t="s">
        <v>252</v>
      </c>
      <c r="I655" s="238"/>
      <c r="J655" s="262">
        <v>33</v>
      </c>
      <c r="K655" s="263" t="s">
        <v>1248</v>
      </c>
      <c r="L655" s="264">
        <v>35000</v>
      </c>
      <c r="M655" s="265">
        <f>+J655*L655</f>
        <v>1155000</v>
      </c>
      <c r="N655" s="262">
        <v>33</v>
      </c>
      <c r="O655" s="263" t="s">
        <v>1248</v>
      </c>
      <c r="P655" s="264">
        <v>35000</v>
      </c>
      <c r="Q655" s="266">
        <f>+N655*P655</f>
        <v>1155000</v>
      </c>
      <c r="R655" s="267">
        <f t="shared" si="100"/>
        <v>1</v>
      </c>
      <c r="S655" s="266">
        <f>Q655</f>
        <v>1155000</v>
      </c>
      <c r="T655" s="261"/>
      <c r="U655" s="266">
        <v>0</v>
      </c>
      <c r="V655" s="249">
        <f>+V656+V662</f>
        <v>0</v>
      </c>
    </row>
    <row r="656" spans="1:22" ht="27.95" hidden="1" customHeight="1">
      <c r="A656" s="229" t="s">
        <v>997</v>
      </c>
      <c r="B656" s="270" t="s">
        <v>960</v>
      </c>
      <c r="C656" s="270" t="s">
        <v>995</v>
      </c>
      <c r="D656" s="260">
        <v>5</v>
      </c>
      <c r="E656" s="260">
        <v>2</v>
      </c>
      <c r="F656" s="260">
        <v>1</v>
      </c>
      <c r="G656" s="260">
        <v>99</v>
      </c>
      <c r="H656" s="261" t="s">
        <v>1476</v>
      </c>
      <c r="I656" s="238"/>
      <c r="J656" s="262"/>
      <c r="K656" s="263"/>
      <c r="L656" s="264"/>
      <c r="M656" s="265"/>
      <c r="N656" s="266"/>
      <c r="O656" s="261"/>
      <c r="P656" s="266"/>
      <c r="Q656" s="234"/>
      <c r="R656" s="267" t="str">
        <f t="shared" si="100"/>
        <v/>
      </c>
      <c r="S656" s="266">
        <f>+IF(W656="DDS",Q656,0)</f>
        <v>0</v>
      </c>
      <c r="T656" s="261"/>
      <c r="U656" s="266">
        <v>0</v>
      </c>
      <c r="V656" s="249">
        <f>+V657+V663</f>
        <v>0</v>
      </c>
    </row>
    <row r="657" spans="1:22" ht="27.95" hidden="1" customHeight="1">
      <c r="A657" s="229"/>
      <c r="B657" s="270"/>
      <c r="C657" s="244"/>
      <c r="D657" s="260"/>
      <c r="E657" s="260"/>
      <c r="F657" s="260"/>
      <c r="G657" s="260"/>
      <c r="H657" s="268" t="s">
        <v>1225</v>
      </c>
      <c r="I657" s="238"/>
      <c r="J657" s="262">
        <v>3</v>
      </c>
      <c r="K657" s="263" t="s">
        <v>1191</v>
      </c>
      <c r="L657" s="264">
        <v>25000</v>
      </c>
      <c r="M657" s="265">
        <f>+J657*L657</f>
        <v>75000</v>
      </c>
      <c r="N657" s="262">
        <v>3</v>
      </c>
      <c r="O657" s="263" t="s">
        <v>1191</v>
      </c>
      <c r="P657" s="264">
        <v>25000</v>
      </c>
      <c r="Q657" s="266">
        <f>+N657*P657</f>
        <v>75000</v>
      </c>
      <c r="R657" s="267">
        <f t="shared" si="100"/>
        <v>1</v>
      </c>
      <c r="S657" s="266">
        <f>Q657</f>
        <v>75000</v>
      </c>
      <c r="T657" s="261"/>
      <c r="U657" s="266">
        <v>0</v>
      </c>
      <c r="V657" s="249">
        <f>+V658+V664</f>
        <v>0</v>
      </c>
    </row>
    <row r="658" spans="1:22" ht="27.95" hidden="1" customHeight="1">
      <c r="A658" s="229" t="s">
        <v>997</v>
      </c>
      <c r="B658" s="270" t="s">
        <v>960</v>
      </c>
      <c r="C658" s="270" t="s">
        <v>995</v>
      </c>
      <c r="D658" s="252" t="s">
        <v>363</v>
      </c>
      <c r="E658" s="252" t="s">
        <v>970</v>
      </c>
      <c r="F658" s="252">
        <v>3</v>
      </c>
      <c r="G658" s="252" t="s">
        <v>959</v>
      </c>
      <c r="H658" s="288" t="s">
        <v>136</v>
      </c>
      <c r="I658" s="238"/>
      <c r="J658" s="254"/>
      <c r="K658" s="255"/>
      <c r="L658" s="256"/>
      <c r="M658" s="257">
        <f>+SUM(M659:M660)</f>
        <v>900000</v>
      </c>
      <c r="N658" s="266"/>
      <c r="O658" s="261"/>
      <c r="P658" s="266"/>
      <c r="Q658" s="234"/>
      <c r="R658" s="267"/>
      <c r="S658" s="234"/>
      <c r="T658" s="234"/>
      <c r="U658" s="234"/>
      <c r="V658" s="234"/>
    </row>
    <row r="659" spans="1:22" ht="27.95" hidden="1" customHeight="1">
      <c r="A659" s="229" t="s">
        <v>997</v>
      </c>
      <c r="B659" s="270" t="s">
        <v>960</v>
      </c>
      <c r="C659" s="270" t="s">
        <v>995</v>
      </c>
      <c r="D659" s="260" t="s">
        <v>363</v>
      </c>
      <c r="E659" s="260" t="s">
        <v>970</v>
      </c>
      <c r="F659" s="260">
        <v>3</v>
      </c>
      <c r="G659" s="269" t="s">
        <v>960</v>
      </c>
      <c r="H659" s="278" t="s">
        <v>1477</v>
      </c>
      <c r="I659" s="238"/>
      <c r="J659" s="262"/>
      <c r="K659" s="263"/>
      <c r="L659" s="264"/>
      <c r="M659" s="265"/>
      <c r="N659" s="266"/>
      <c r="O659" s="261"/>
      <c r="P659" s="266"/>
      <c r="Q659" s="234"/>
      <c r="R659" s="267"/>
      <c r="S659" s="234"/>
      <c r="T659" s="234"/>
      <c r="U659" s="234"/>
      <c r="V659" s="234"/>
    </row>
    <row r="660" spans="1:22" ht="27.95" hidden="1" customHeight="1">
      <c r="A660" s="229"/>
      <c r="B660" s="270"/>
      <c r="C660" s="244"/>
      <c r="D660" s="260"/>
      <c r="E660" s="260"/>
      <c r="F660" s="260"/>
      <c r="G660" s="260"/>
      <c r="H660" s="290" t="s">
        <v>1478</v>
      </c>
      <c r="I660" s="238"/>
      <c r="J660" s="262">
        <v>30</v>
      </c>
      <c r="K660" s="263" t="s">
        <v>1209</v>
      </c>
      <c r="L660" s="264">
        <v>30000</v>
      </c>
      <c r="M660" s="265">
        <f>+J660*L660</f>
        <v>900000</v>
      </c>
      <c r="N660" s="262">
        <v>30</v>
      </c>
      <c r="O660" s="263" t="s">
        <v>1209</v>
      </c>
      <c r="P660" s="264">
        <v>30000</v>
      </c>
      <c r="Q660" s="266">
        <f>+N660*P660</f>
        <v>900000</v>
      </c>
      <c r="R660" s="267"/>
      <c r="S660" s="234">
        <f>Q660</f>
        <v>900000</v>
      </c>
      <c r="T660" s="234"/>
      <c r="U660" s="234"/>
      <c r="V660" s="234"/>
    </row>
    <row r="661" spans="1:22" ht="27.95" customHeight="1">
      <c r="A661" s="229" t="s">
        <v>997</v>
      </c>
      <c r="B661" s="270" t="s">
        <v>960</v>
      </c>
      <c r="C661" s="229">
        <v>90</v>
      </c>
      <c r="D661" s="229"/>
      <c r="E661" s="270"/>
      <c r="F661" s="270"/>
      <c r="G661" s="229"/>
      <c r="H661" s="238" t="s">
        <v>1479</v>
      </c>
      <c r="I661" s="238" t="s">
        <v>1480</v>
      </c>
      <c r="J661" s="239"/>
      <c r="K661" s="240">
        <v>1</v>
      </c>
      <c r="L661" s="241" t="s">
        <v>386</v>
      </c>
      <c r="M661" s="234">
        <f>+M662</f>
        <v>3220000</v>
      </c>
      <c r="N661" s="266">
        <v>0</v>
      </c>
      <c r="O661" s="261"/>
      <c r="P661" s="266">
        <v>0</v>
      </c>
      <c r="Q661" s="234">
        <f>+Q662</f>
        <v>3220000</v>
      </c>
      <c r="R661" s="236">
        <f>Q661/M661*100%</f>
        <v>1</v>
      </c>
      <c r="S661" s="234">
        <f>+S662</f>
        <v>0</v>
      </c>
      <c r="T661" s="234">
        <f>+T662</f>
        <v>0</v>
      </c>
      <c r="U661" s="234">
        <f>+U662</f>
        <v>2170000</v>
      </c>
      <c r="V661" s="234">
        <f>+V662</f>
        <v>0</v>
      </c>
    </row>
    <row r="662" spans="1:22" ht="27.95" hidden="1" customHeight="1">
      <c r="A662" s="260" t="s">
        <v>997</v>
      </c>
      <c r="B662" s="269" t="s">
        <v>960</v>
      </c>
      <c r="C662" s="260">
        <v>90</v>
      </c>
      <c r="D662" s="244" t="s">
        <v>363</v>
      </c>
      <c r="E662" s="244" t="s">
        <v>970</v>
      </c>
      <c r="F662" s="244" t="s">
        <v>959</v>
      </c>
      <c r="G662" s="244" t="s">
        <v>959</v>
      </c>
      <c r="H662" s="245" t="s">
        <v>1026</v>
      </c>
      <c r="I662" s="238"/>
      <c r="J662" s="246"/>
      <c r="K662" s="247"/>
      <c r="L662" s="248"/>
      <c r="M662" s="249">
        <f>+M663+M669</f>
        <v>3220000</v>
      </c>
      <c r="N662" s="266">
        <v>0</v>
      </c>
      <c r="O662" s="261"/>
      <c r="P662" s="266">
        <v>0</v>
      </c>
      <c r="Q662" s="249">
        <f>+Q663+Q669</f>
        <v>3220000</v>
      </c>
      <c r="R662" s="267" t="str">
        <f t="shared" ref="R662:R677" si="108">IF(J662="","",Q662/M662)</f>
        <v/>
      </c>
      <c r="S662" s="249">
        <f>+S663+S669</f>
        <v>0</v>
      </c>
      <c r="T662" s="249">
        <f>+T663+T669</f>
        <v>0</v>
      </c>
      <c r="U662" s="249">
        <f>+U663+U669</f>
        <v>2170000</v>
      </c>
      <c r="V662" s="249">
        <f>+V663+V669</f>
        <v>0</v>
      </c>
    </row>
    <row r="663" spans="1:22" ht="27.95" hidden="1" customHeight="1">
      <c r="A663" s="229" t="s">
        <v>997</v>
      </c>
      <c r="B663" s="270" t="s">
        <v>960</v>
      </c>
      <c r="C663" s="229">
        <v>90</v>
      </c>
      <c r="D663" s="252" t="s">
        <v>363</v>
      </c>
      <c r="E663" s="252" t="s">
        <v>970</v>
      </c>
      <c r="F663" s="252" t="s">
        <v>362</v>
      </c>
      <c r="G663" s="252" t="s">
        <v>959</v>
      </c>
      <c r="H663" s="253" t="s">
        <v>134</v>
      </c>
      <c r="I663" s="238"/>
      <c r="J663" s="254"/>
      <c r="K663" s="255"/>
      <c r="L663" s="256"/>
      <c r="M663" s="257">
        <f>+SUM(M664:M668)</f>
        <v>2170000</v>
      </c>
      <c r="N663" s="266">
        <v>0</v>
      </c>
      <c r="O663" s="261"/>
      <c r="P663" s="266">
        <v>0</v>
      </c>
      <c r="Q663" s="257">
        <f>+SUM(Q664:Q671)</f>
        <v>3220000</v>
      </c>
      <c r="R663" s="267" t="str">
        <f t="shared" si="108"/>
        <v/>
      </c>
      <c r="S663" s="257">
        <f>+SUM(S664:S671)</f>
        <v>0</v>
      </c>
      <c r="T663" s="257">
        <f>+SUM(T664:T668)</f>
        <v>0</v>
      </c>
      <c r="U663" s="257">
        <f>+SUM(U664:U668)</f>
        <v>2170000</v>
      </c>
      <c r="V663" s="257">
        <f>+SUM(V664:V668)</f>
        <v>0</v>
      </c>
    </row>
    <row r="664" spans="1:22" ht="27.95" hidden="1" customHeight="1">
      <c r="A664" s="260" t="s">
        <v>997</v>
      </c>
      <c r="B664" s="269" t="s">
        <v>960</v>
      </c>
      <c r="C664" s="260">
        <v>90</v>
      </c>
      <c r="D664" s="260" t="s">
        <v>363</v>
      </c>
      <c r="E664" s="260" t="s">
        <v>970</v>
      </c>
      <c r="F664" s="260" t="s">
        <v>362</v>
      </c>
      <c r="G664" s="260" t="s">
        <v>960</v>
      </c>
      <c r="H664" s="261" t="s">
        <v>245</v>
      </c>
      <c r="I664" s="238"/>
      <c r="J664" s="262">
        <v>1</v>
      </c>
      <c r="K664" s="263" t="s">
        <v>1029</v>
      </c>
      <c r="L664" s="264">
        <v>120000</v>
      </c>
      <c r="M664" s="265">
        <f>+J664*L664</f>
        <v>120000</v>
      </c>
      <c r="N664" s="262">
        <v>1</v>
      </c>
      <c r="O664" s="263" t="s">
        <v>1029</v>
      </c>
      <c r="P664" s="264">
        <v>120000</v>
      </c>
      <c r="Q664" s="266">
        <f t="shared" ref="Q664:Q671" si="109">+N664*P664</f>
        <v>120000</v>
      </c>
      <c r="R664" s="267">
        <f t="shared" si="108"/>
        <v>1</v>
      </c>
      <c r="S664" s="266">
        <f t="shared" ref="S664:S671" si="110">+IF(W664="DDS",Q664,0)</f>
        <v>0</v>
      </c>
      <c r="T664" s="266">
        <f t="shared" ref="T664:T671" si="111">+IF(W664="ADD",Q664,0)</f>
        <v>0</v>
      </c>
      <c r="U664" s="266">
        <f t="shared" ref="U664:U671" si="112">+IF(W664="DDS",0,IF(W664="ADD",0,Q664))</f>
        <v>120000</v>
      </c>
      <c r="V664" s="266">
        <v>0</v>
      </c>
    </row>
    <row r="665" spans="1:22" ht="27.95" hidden="1" customHeight="1">
      <c r="A665" s="260" t="s">
        <v>997</v>
      </c>
      <c r="B665" s="269" t="s">
        <v>960</v>
      </c>
      <c r="C665" s="260">
        <v>90</v>
      </c>
      <c r="D665" s="260" t="s">
        <v>363</v>
      </c>
      <c r="E665" s="260" t="s">
        <v>970</v>
      </c>
      <c r="F665" s="260" t="s">
        <v>362</v>
      </c>
      <c r="G665" s="260" t="s">
        <v>1038</v>
      </c>
      <c r="H665" s="278" t="s">
        <v>1090</v>
      </c>
      <c r="I665" s="238"/>
      <c r="J665" s="262">
        <v>1</v>
      </c>
      <c r="K665" s="263" t="s">
        <v>1029</v>
      </c>
      <c r="L665" s="264">
        <v>250000</v>
      </c>
      <c r="M665" s="265">
        <f>+J665*L665</f>
        <v>250000</v>
      </c>
      <c r="N665" s="262">
        <v>1</v>
      </c>
      <c r="O665" s="263" t="s">
        <v>1029</v>
      </c>
      <c r="P665" s="264">
        <v>250000</v>
      </c>
      <c r="Q665" s="266">
        <f t="shared" si="109"/>
        <v>250000</v>
      </c>
      <c r="R665" s="267">
        <f t="shared" si="108"/>
        <v>1</v>
      </c>
      <c r="S665" s="266">
        <f t="shared" si="110"/>
        <v>0</v>
      </c>
      <c r="T665" s="266">
        <f t="shared" si="111"/>
        <v>0</v>
      </c>
      <c r="U665" s="266">
        <f t="shared" si="112"/>
        <v>250000</v>
      </c>
      <c r="V665" s="266">
        <v>0</v>
      </c>
    </row>
    <row r="666" spans="1:22" ht="27.95" hidden="1" customHeight="1">
      <c r="A666" s="260" t="s">
        <v>997</v>
      </c>
      <c r="B666" s="269" t="s">
        <v>960</v>
      </c>
      <c r="C666" s="260">
        <v>90</v>
      </c>
      <c r="D666" s="260" t="s">
        <v>363</v>
      </c>
      <c r="E666" s="260" t="s">
        <v>970</v>
      </c>
      <c r="F666" s="260" t="s">
        <v>362</v>
      </c>
      <c r="G666" s="260" t="s">
        <v>1040</v>
      </c>
      <c r="H666" s="261" t="s">
        <v>252</v>
      </c>
      <c r="I666" s="238"/>
      <c r="J666" s="262">
        <v>40</v>
      </c>
      <c r="K666" s="263" t="s">
        <v>1248</v>
      </c>
      <c r="L666" s="264">
        <v>35000</v>
      </c>
      <c r="M666" s="265">
        <f>+J666*L666</f>
        <v>1400000</v>
      </c>
      <c r="N666" s="262">
        <v>40</v>
      </c>
      <c r="O666" s="263" t="s">
        <v>1248</v>
      </c>
      <c r="P666" s="264">
        <v>35000</v>
      </c>
      <c r="Q666" s="266">
        <f t="shared" si="109"/>
        <v>1400000</v>
      </c>
      <c r="R666" s="267">
        <f t="shared" si="108"/>
        <v>1</v>
      </c>
      <c r="S666" s="266">
        <f t="shared" si="110"/>
        <v>0</v>
      </c>
      <c r="T666" s="266">
        <f t="shared" si="111"/>
        <v>0</v>
      </c>
      <c r="U666" s="266">
        <f t="shared" si="112"/>
        <v>1400000</v>
      </c>
      <c r="V666" s="266">
        <v>0</v>
      </c>
    </row>
    <row r="667" spans="1:22" ht="27.95" hidden="1" customHeight="1">
      <c r="A667" s="229" t="s">
        <v>997</v>
      </c>
      <c r="B667" s="270" t="s">
        <v>960</v>
      </c>
      <c r="C667" s="229">
        <v>90</v>
      </c>
      <c r="D667" s="252">
        <v>5</v>
      </c>
      <c r="E667" s="252">
        <v>2</v>
      </c>
      <c r="F667" s="252">
        <v>2</v>
      </c>
      <c r="G667" s="252"/>
      <c r="H667" s="253" t="s">
        <v>1278</v>
      </c>
      <c r="I667" s="238"/>
      <c r="J667" s="254"/>
      <c r="K667" s="255"/>
      <c r="L667" s="256"/>
      <c r="M667" s="257"/>
      <c r="N667" s="266">
        <v>0</v>
      </c>
      <c r="O667" s="261"/>
      <c r="P667" s="266">
        <v>0</v>
      </c>
      <c r="Q667" s="266">
        <f t="shared" si="109"/>
        <v>0</v>
      </c>
      <c r="R667" s="267" t="str">
        <f t="shared" si="108"/>
        <v/>
      </c>
      <c r="S667" s="266">
        <f t="shared" si="110"/>
        <v>0</v>
      </c>
      <c r="T667" s="266">
        <f t="shared" si="111"/>
        <v>0</v>
      </c>
      <c r="U667" s="266">
        <f t="shared" si="112"/>
        <v>0</v>
      </c>
      <c r="V667" s="266">
        <v>0</v>
      </c>
    </row>
    <row r="668" spans="1:22" ht="27.95" hidden="1" customHeight="1">
      <c r="A668" s="260" t="s">
        <v>997</v>
      </c>
      <c r="B668" s="269" t="s">
        <v>960</v>
      </c>
      <c r="C668" s="260">
        <v>90</v>
      </c>
      <c r="D668" s="260">
        <v>5</v>
      </c>
      <c r="E668" s="260">
        <v>2</v>
      </c>
      <c r="F668" s="260">
        <v>2</v>
      </c>
      <c r="G668" s="269" t="s">
        <v>1002</v>
      </c>
      <c r="H668" s="268" t="s">
        <v>1481</v>
      </c>
      <c r="I668" s="238"/>
      <c r="J668" s="262">
        <v>4</v>
      </c>
      <c r="K668" s="263" t="s">
        <v>1199</v>
      </c>
      <c r="L668" s="264">
        <v>100000</v>
      </c>
      <c r="M668" s="265">
        <f>+J668*L668</f>
        <v>400000</v>
      </c>
      <c r="N668" s="262">
        <v>4</v>
      </c>
      <c r="O668" s="263" t="s">
        <v>1199</v>
      </c>
      <c r="P668" s="264">
        <v>100000</v>
      </c>
      <c r="Q668" s="266">
        <f t="shared" si="109"/>
        <v>400000</v>
      </c>
      <c r="R668" s="267">
        <f t="shared" si="108"/>
        <v>1</v>
      </c>
      <c r="S668" s="266">
        <f t="shared" si="110"/>
        <v>0</v>
      </c>
      <c r="T668" s="266">
        <f t="shared" si="111"/>
        <v>0</v>
      </c>
      <c r="U668" s="266">
        <f t="shared" si="112"/>
        <v>400000</v>
      </c>
      <c r="V668" s="266">
        <v>0</v>
      </c>
    </row>
    <row r="669" spans="1:22" ht="27.95" hidden="1" customHeight="1">
      <c r="A669" s="260" t="s">
        <v>997</v>
      </c>
      <c r="B669" s="269" t="s">
        <v>960</v>
      </c>
      <c r="C669" s="260">
        <v>90</v>
      </c>
      <c r="D669" s="252" t="s">
        <v>363</v>
      </c>
      <c r="E669" s="252" t="s">
        <v>970</v>
      </c>
      <c r="F669" s="252">
        <v>3</v>
      </c>
      <c r="G669" s="252" t="s">
        <v>959</v>
      </c>
      <c r="H669" s="288" t="s">
        <v>136</v>
      </c>
      <c r="I669" s="238"/>
      <c r="J669" s="254"/>
      <c r="K669" s="255"/>
      <c r="L669" s="256"/>
      <c r="M669" s="257">
        <f>+SUM(M670:M671)</f>
        <v>1050000</v>
      </c>
      <c r="N669" s="266">
        <v>0</v>
      </c>
      <c r="O669" s="261"/>
      <c r="P669" s="266">
        <v>0</v>
      </c>
      <c r="Q669" s="266">
        <f t="shared" si="109"/>
        <v>0</v>
      </c>
      <c r="R669" s="267" t="str">
        <f t="shared" si="108"/>
        <v/>
      </c>
      <c r="S669" s="266">
        <f t="shared" si="110"/>
        <v>0</v>
      </c>
      <c r="T669" s="266">
        <f t="shared" si="111"/>
        <v>0</v>
      </c>
      <c r="U669" s="266">
        <f t="shared" si="112"/>
        <v>0</v>
      </c>
      <c r="V669" s="266">
        <v>0</v>
      </c>
    </row>
    <row r="670" spans="1:22" ht="27.95" hidden="1" customHeight="1">
      <c r="A670" s="229" t="s">
        <v>997</v>
      </c>
      <c r="B670" s="270" t="s">
        <v>960</v>
      </c>
      <c r="C670" s="229">
        <v>90</v>
      </c>
      <c r="D670" s="260" t="s">
        <v>363</v>
      </c>
      <c r="E670" s="260" t="s">
        <v>970</v>
      </c>
      <c r="F670" s="260">
        <v>3</v>
      </c>
      <c r="G670" s="269" t="s">
        <v>960</v>
      </c>
      <c r="H670" s="278" t="s">
        <v>1477</v>
      </c>
      <c r="I670" s="238"/>
      <c r="J670" s="262"/>
      <c r="K670" s="263"/>
      <c r="L670" s="264"/>
      <c r="M670" s="265"/>
      <c r="N670" s="266">
        <v>0</v>
      </c>
      <c r="O670" s="261"/>
      <c r="P670" s="266">
        <v>0</v>
      </c>
      <c r="Q670" s="266">
        <f t="shared" si="109"/>
        <v>0</v>
      </c>
      <c r="R670" s="267" t="str">
        <f t="shared" si="108"/>
        <v/>
      </c>
      <c r="S670" s="266">
        <f t="shared" si="110"/>
        <v>0</v>
      </c>
      <c r="T670" s="266">
        <f t="shared" si="111"/>
        <v>0</v>
      </c>
      <c r="U670" s="266">
        <f t="shared" si="112"/>
        <v>0</v>
      </c>
      <c r="V670" s="266">
        <v>0</v>
      </c>
    </row>
    <row r="671" spans="1:22" ht="27.95" hidden="1" customHeight="1">
      <c r="A671" s="260" t="s">
        <v>997</v>
      </c>
      <c r="B671" s="269" t="s">
        <v>960</v>
      </c>
      <c r="C671" s="260">
        <v>90</v>
      </c>
      <c r="D671" s="260"/>
      <c r="E671" s="260"/>
      <c r="F671" s="260"/>
      <c r="G671" s="260"/>
      <c r="H671" s="290" t="s">
        <v>1482</v>
      </c>
      <c r="I671" s="238"/>
      <c r="J671" s="262">
        <v>35</v>
      </c>
      <c r="K671" s="263" t="s">
        <v>1209</v>
      </c>
      <c r="L671" s="264">
        <v>30000</v>
      </c>
      <c r="M671" s="265">
        <f>+J671*L671</f>
        <v>1050000</v>
      </c>
      <c r="N671" s="262">
        <v>35</v>
      </c>
      <c r="O671" s="263" t="s">
        <v>1209</v>
      </c>
      <c r="P671" s="264">
        <v>30000</v>
      </c>
      <c r="Q671" s="266">
        <f t="shared" si="109"/>
        <v>1050000</v>
      </c>
      <c r="R671" s="267">
        <f t="shared" si="108"/>
        <v>1</v>
      </c>
      <c r="S671" s="266">
        <f t="shared" si="110"/>
        <v>0</v>
      </c>
      <c r="T671" s="266">
        <f t="shared" si="111"/>
        <v>0</v>
      </c>
      <c r="U671" s="266">
        <f t="shared" si="112"/>
        <v>1050000</v>
      </c>
      <c r="V671" s="266">
        <v>0</v>
      </c>
    </row>
    <row r="672" spans="1:22" ht="27.95" customHeight="1">
      <c r="A672" s="229" t="s">
        <v>997</v>
      </c>
      <c r="B672" s="270" t="s">
        <v>960</v>
      </c>
      <c r="C672" s="270">
        <v>93</v>
      </c>
      <c r="D672" s="229"/>
      <c r="E672" s="270"/>
      <c r="F672" s="270"/>
      <c r="G672" s="229"/>
      <c r="H672" s="238" t="s">
        <v>549</v>
      </c>
      <c r="I672" s="238" t="s">
        <v>1483</v>
      </c>
      <c r="J672" s="239"/>
      <c r="K672" s="240">
        <v>1</v>
      </c>
      <c r="L672" s="241" t="s">
        <v>386</v>
      </c>
      <c r="M672" s="234">
        <f>+M673</f>
        <v>6825000</v>
      </c>
      <c r="N672" s="266"/>
      <c r="O672" s="261"/>
      <c r="P672" s="266"/>
      <c r="Q672" s="234">
        <f>+Q673</f>
        <v>0</v>
      </c>
      <c r="R672" s="236">
        <f>Q672/M672*100%</f>
        <v>0</v>
      </c>
      <c r="S672" s="234">
        <f>+S673</f>
        <v>0</v>
      </c>
      <c r="T672" s="234">
        <f>+T673</f>
        <v>0</v>
      </c>
      <c r="U672" s="234">
        <f>+U673</f>
        <v>0</v>
      </c>
      <c r="V672" s="234">
        <f>+V673</f>
        <v>0</v>
      </c>
    </row>
    <row r="673" spans="1:22" ht="27.95" hidden="1" customHeight="1">
      <c r="A673" s="229" t="s">
        <v>997</v>
      </c>
      <c r="B673" s="270" t="s">
        <v>960</v>
      </c>
      <c r="C673" s="270">
        <v>93</v>
      </c>
      <c r="D673" s="244" t="s">
        <v>363</v>
      </c>
      <c r="E673" s="244" t="s">
        <v>970</v>
      </c>
      <c r="F673" s="244" t="s">
        <v>959</v>
      </c>
      <c r="G673" s="244" t="s">
        <v>959</v>
      </c>
      <c r="H673" s="245" t="s">
        <v>1026</v>
      </c>
      <c r="I673" s="238"/>
      <c r="J673" s="246"/>
      <c r="K673" s="247"/>
      <c r="L673" s="248"/>
      <c r="M673" s="249">
        <f>+M674+M682</f>
        <v>6825000</v>
      </c>
      <c r="N673" s="266"/>
      <c r="O673" s="261"/>
      <c r="P673" s="266"/>
      <c r="Q673" s="249">
        <f>+Q674+Q682</f>
        <v>0</v>
      </c>
      <c r="R673" s="267" t="str">
        <f t="shared" si="108"/>
        <v/>
      </c>
      <c r="S673" s="249">
        <f>+S674+S682</f>
        <v>0</v>
      </c>
      <c r="T673" s="249">
        <f>+T674+T682</f>
        <v>0</v>
      </c>
      <c r="U673" s="249">
        <f>+U674+U682</f>
        <v>0</v>
      </c>
      <c r="V673" s="249">
        <f>+V674+V682</f>
        <v>0</v>
      </c>
    </row>
    <row r="674" spans="1:22" ht="27.95" hidden="1" customHeight="1">
      <c r="A674" s="229" t="s">
        <v>997</v>
      </c>
      <c r="B674" s="270" t="s">
        <v>960</v>
      </c>
      <c r="C674" s="270">
        <v>93</v>
      </c>
      <c r="D674" s="252" t="s">
        <v>363</v>
      </c>
      <c r="E674" s="252" t="s">
        <v>970</v>
      </c>
      <c r="F674" s="252" t="s">
        <v>362</v>
      </c>
      <c r="G674" s="252" t="s">
        <v>959</v>
      </c>
      <c r="H674" s="253" t="s">
        <v>134</v>
      </c>
      <c r="I674" s="238"/>
      <c r="J674" s="254"/>
      <c r="K674" s="255"/>
      <c r="L674" s="256"/>
      <c r="M674" s="257">
        <f>+SUM(M675:M681)</f>
        <v>2325000</v>
      </c>
      <c r="N674" s="266"/>
      <c r="O674" s="261"/>
      <c r="P674" s="266"/>
      <c r="Q674" s="257">
        <f>+SUM(Q675:Q681)</f>
        <v>0</v>
      </c>
      <c r="R674" s="267" t="str">
        <f t="shared" si="108"/>
        <v/>
      </c>
      <c r="S674" s="257">
        <f>+SUM(S675:S681)</f>
        <v>0</v>
      </c>
      <c r="T674" s="257">
        <f>+SUM(T675:T681)</f>
        <v>0</v>
      </c>
      <c r="U674" s="257">
        <f>+SUM(U675:U681)</f>
        <v>0</v>
      </c>
      <c r="V674" s="257">
        <f>+SUM(V675:V681)</f>
        <v>0</v>
      </c>
    </row>
    <row r="675" spans="1:22" ht="27.95" hidden="1" customHeight="1">
      <c r="A675" s="229" t="s">
        <v>997</v>
      </c>
      <c r="B675" s="270" t="s">
        <v>960</v>
      </c>
      <c r="C675" s="270">
        <v>93</v>
      </c>
      <c r="D675" s="260" t="s">
        <v>363</v>
      </c>
      <c r="E675" s="260" t="s">
        <v>970</v>
      </c>
      <c r="F675" s="260" t="s">
        <v>362</v>
      </c>
      <c r="G675" s="260" t="s">
        <v>960</v>
      </c>
      <c r="H675" s="261" t="s">
        <v>245</v>
      </c>
      <c r="I675" s="238"/>
      <c r="J675" s="262">
        <v>1</v>
      </c>
      <c r="K675" s="263" t="s">
        <v>1029</v>
      </c>
      <c r="L675" s="264">
        <v>50000</v>
      </c>
      <c r="M675" s="265">
        <f>+J675*L675</f>
        <v>50000</v>
      </c>
      <c r="N675" s="266">
        <v>0</v>
      </c>
      <c r="O675" s="261"/>
      <c r="P675" s="266">
        <v>0</v>
      </c>
      <c r="Q675" s="266">
        <f>+N675*P675</f>
        <v>0</v>
      </c>
      <c r="R675" s="267">
        <f t="shared" si="108"/>
        <v>0</v>
      </c>
      <c r="S675" s="266">
        <f>+IF(W675="DDS",Q675,0)</f>
        <v>0</v>
      </c>
      <c r="T675" s="266">
        <f>+IF(W675="ADD",Q675,0)</f>
        <v>0</v>
      </c>
      <c r="U675" s="266">
        <f>+IF(W675="DDS",0,IF(W675="ADD",0,Q675))</f>
        <v>0</v>
      </c>
      <c r="V675" s="266">
        <v>0</v>
      </c>
    </row>
    <row r="676" spans="1:22" ht="27.95" hidden="1" customHeight="1">
      <c r="A676" s="229" t="s">
        <v>997</v>
      </c>
      <c r="B676" s="270" t="s">
        <v>960</v>
      </c>
      <c r="C676" s="270">
        <v>93</v>
      </c>
      <c r="D676" s="260" t="s">
        <v>363</v>
      </c>
      <c r="E676" s="260" t="s">
        <v>970</v>
      </c>
      <c r="F676" s="260" t="s">
        <v>362</v>
      </c>
      <c r="G676" s="260" t="s">
        <v>1038</v>
      </c>
      <c r="H676" s="278" t="s">
        <v>1090</v>
      </c>
      <c r="I676" s="238"/>
      <c r="J676" s="262">
        <v>1</v>
      </c>
      <c r="K676" s="263" t="s">
        <v>1029</v>
      </c>
      <c r="L676" s="264">
        <v>50000</v>
      </c>
      <c r="M676" s="265">
        <f>+J676*L676</f>
        <v>50000</v>
      </c>
      <c r="N676" s="266">
        <v>0</v>
      </c>
      <c r="O676" s="261"/>
      <c r="P676" s="266">
        <v>0</v>
      </c>
      <c r="Q676" s="266">
        <f>+N676*P676</f>
        <v>0</v>
      </c>
      <c r="R676" s="267">
        <f t="shared" si="108"/>
        <v>0</v>
      </c>
      <c r="S676" s="266">
        <f>+IF(W676="DDS",Q676,0)</f>
        <v>0</v>
      </c>
      <c r="T676" s="266">
        <f>+IF(W676="ADD",Q676,0)</f>
        <v>0</v>
      </c>
      <c r="U676" s="266">
        <f>+IF(W676="DDS",0,IF(W676="ADD",0,Q676))</f>
        <v>0</v>
      </c>
      <c r="V676" s="266">
        <v>0</v>
      </c>
    </row>
    <row r="677" spans="1:22" ht="27.95" hidden="1" customHeight="1">
      <c r="A677" s="229" t="s">
        <v>997</v>
      </c>
      <c r="B677" s="270" t="s">
        <v>960</v>
      </c>
      <c r="C677" s="270">
        <v>93</v>
      </c>
      <c r="D677" s="260" t="s">
        <v>363</v>
      </c>
      <c r="E677" s="260" t="s">
        <v>970</v>
      </c>
      <c r="F677" s="260" t="s">
        <v>362</v>
      </c>
      <c r="G677" s="260" t="s">
        <v>1040</v>
      </c>
      <c r="H677" s="261" t="s">
        <v>252</v>
      </c>
      <c r="I677" s="238"/>
      <c r="J677" s="262">
        <v>155</v>
      </c>
      <c r="K677" s="263" t="s">
        <v>1248</v>
      </c>
      <c r="L677" s="264">
        <v>10000</v>
      </c>
      <c r="M677" s="265">
        <f>+J677*L677</f>
        <v>1550000</v>
      </c>
      <c r="N677" s="266">
        <v>0</v>
      </c>
      <c r="O677" s="261"/>
      <c r="P677" s="266">
        <v>0</v>
      </c>
      <c r="Q677" s="266">
        <f>+N677*P677</f>
        <v>0</v>
      </c>
      <c r="R677" s="267">
        <f t="shared" si="108"/>
        <v>0</v>
      </c>
      <c r="S677" s="266">
        <f>+IF(W677="DDS",Q677,0)</f>
        <v>0</v>
      </c>
      <c r="T677" s="266">
        <f>+IF(W677="ADD",Q677,0)</f>
        <v>0</v>
      </c>
      <c r="U677" s="266">
        <f>+IF(W677="DDS",0,IF(W677="ADD",0,Q677))</f>
        <v>0</v>
      </c>
      <c r="V677" s="266">
        <v>0</v>
      </c>
    </row>
    <row r="678" spans="1:22" ht="27.95" hidden="1" customHeight="1">
      <c r="A678" s="229" t="s">
        <v>997</v>
      </c>
      <c r="B678" s="270" t="s">
        <v>960</v>
      </c>
      <c r="C678" s="270">
        <v>93</v>
      </c>
      <c r="D678" s="260">
        <v>5</v>
      </c>
      <c r="E678" s="260">
        <v>2</v>
      </c>
      <c r="F678" s="260">
        <v>1</v>
      </c>
      <c r="G678" s="260">
        <v>99</v>
      </c>
      <c r="H678" s="261" t="s">
        <v>1476</v>
      </c>
      <c r="I678" s="238"/>
      <c r="J678" s="262"/>
      <c r="K678" s="263"/>
      <c r="L678" s="264"/>
      <c r="M678" s="265"/>
      <c r="N678" s="266"/>
      <c r="O678" s="261"/>
      <c r="P678" s="266"/>
      <c r="Q678" s="266"/>
      <c r="R678" s="267"/>
      <c r="S678" s="266"/>
      <c r="T678" s="266"/>
      <c r="U678" s="266"/>
      <c r="V678" s="266"/>
    </row>
    <row r="679" spans="1:22" ht="27.95" hidden="1" customHeight="1">
      <c r="A679" s="260"/>
      <c r="B679" s="269"/>
      <c r="C679" s="260"/>
      <c r="D679" s="260"/>
      <c r="E679" s="260"/>
      <c r="F679" s="260"/>
      <c r="G679" s="260"/>
      <c r="H679" s="268" t="s">
        <v>1225</v>
      </c>
      <c r="I679" s="238"/>
      <c r="J679" s="262">
        <v>3</v>
      </c>
      <c r="K679" s="263" t="s">
        <v>1191</v>
      </c>
      <c r="L679" s="264">
        <v>25000</v>
      </c>
      <c r="M679" s="265">
        <f>+J679*L679</f>
        <v>75000</v>
      </c>
      <c r="N679" s="266">
        <v>0</v>
      </c>
      <c r="O679" s="261"/>
      <c r="P679" s="266">
        <v>0</v>
      </c>
      <c r="Q679" s="266">
        <f>+N679*P679</f>
        <v>0</v>
      </c>
      <c r="R679" s="267">
        <f>IF(J679="","",Q679/M679)</f>
        <v>0</v>
      </c>
      <c r="S679" s="266">
        <f>+IF(W679="DDS",Q679,0)</f>
        <v>0</v>
      </c>
      <c r="T679" s="266">
        <f>+IF(W679="ADD",Q679,0)</f>
        <v>0</v>
      </c>
      <c r="U679" s="266">
        <f>+IF(W679="DDS",0,IF(W679="ADD",0,Q679))</f>
        <v>0</v>
      </c>
      <c r="V679" s="266">
        <v>0</v>
      </c>
    </row>
    <row r="680" spans="1:22" ht="27.95" hidden="1" customHeight="1">
      <c r="A680" s="229" t="s">
        <v>997</v>
      </c>
      <c r="B680" s="270" t="s">
        <v>960</v>
      </c>
      <c r="C680" s="270">
        <v>93</v>
      </c>
      <c r="D680" s="252">
        <v>5</v>
      </c>
      <c r="E680" s="252">
        <v>2</v>
      </c>
      <c r="F680" s="252">
        <v>2</v>
      </c>
      <c r="G680" s="252"/>
      <c r="H680" s="253" t="s">
        <v>1278</v>
      </c>
      <c r="I680" s="238"/>
      <c r="J680" s="254"/>
      <c r="K680" s="255"/>
      <c r="L680" s="256"/>
      <c r="M680" s="257"/>
      <c r="N680" s="266"/>
      <c r="O680" s="261"/>
      <c r="P680" s="266"/>
      <c r="Q680" s="266"/>
      <c r="R680" s="267"/>
      <c r="S680" s="266"/>
      <c r="T680" s="266"/>
      <c r="U680" s="266"/>
      <c r="V680" s="266"/>
    </row>
    <row r="681" spans="1:22" ht="27.95" hidden="1" customHeight="1">
      <c r="A681" s="229" t="s">
        <v>997</v>
      </c>
      <c r="B681" s="270" t="s">
        <v>960</v>
      </c>
      <c r="C681" s="270">
        <v>93</v>
      </c>
      <c r="D681" s="260">
        <v>5</v>
      </c>
      <c r="E681" s="260">
        <v>2</v>
      </c>
      <c r="F681" s="260">
        <v>2</v>
      </c>
      <c r="G681" s="269" t="s">
        <v>1002</v>
      </c>
      <c r="H681" s="268" t="s">
        <v>1481</v>
      </c>
      <c r="I681" s="238"/>
      <c r="J681" s="262">
        <v>6</v>
      </c>
      <c r="K681" s="263" t="s">
        <v>1199</v>
      </c>
      <c r="L681" s="264">
        <v>100000</v>
      </c>
      <c r="M681" s="265">
        <f>+J681*L681</f>
        <v>600000</v>
      </c>
      <c r="N681" s="266">
        <v>0</v>
      </c>
      <c r="O681" s="261"/>
      <c r="P681" s="266">
        <v>0</v>
      </c>
      <c r="Q681" s="266">
        <f>+N681*P681</f>
        <v>0</v>
      </c>
      <c r="R681" s="267">
        <f>IF(J681="","",Q681/M681)</f>
        <v>0</v>
      </c>
      <c r="S681" s="266">
        <f>+IF(W681="DDS",Q681,0)</f>
        <v>0</v>
      </c>
      <c r="T681" s="266">
        <f>+IF(W681="ADD",Q681,0)</f>
        <v>0</v>
      </c>
      <c r="U681" s="266">
        <f>+IF(W681="DDS",0,IF(W681="ADD",0,Q681))</f>
        <v>0</v>
      </c>
      <c r="V681" s="266">
        <v>0</v>
      </c>
    </row>
    <row r="682" spans="1:22" ht="27.95" hidden="1" customHeight="1">
      <c r="A682" s="229" t="s">
        <v>997</v>
      </c>
      <c r="B682" s="270" t="s">
        <v>960</v>
      </c>
      <c r="C682" s="270">
        <v>93</v>
      </c>
      <c r="D682" s="252" t="s">
        <v>363</v>
      </c>
      <c r="E682" s="252" t="s">
        <v>970</v>
      </c>
      <c r="F682" s="252">
        <v>3</v>
      </c>
      <c r="G682" s="252" t="s">
        <v>959</v>
      </c>
      <c r="H682" s="288" t="s">
        <v>136</v>
      </c>
      <c r="I682" s="238"/>
      <c r="J682" s="254"/>
      <c r="K682" s="255"/>
      <c r="L682" s="256"/>
      <c r="M682" s="257">
        <f>+SUM(M683:M684)</f>
        <v>4500000</v>
      </c>
      <c r="N682" s="266"/>
      <c r="O682" s="261"/>
      <c r="P682" s="266"/>
      <c r="Q682" s="257">
        <f>+SUM(Q683:Q684)</f>
        <v>0</v>
      </c>
      <c r="R682" s="267"/>
      <c r="S682" s="257">
        <f>+SUM(S683:S684)</f>
        <v>0</v>
      </c>
      <c r="T682" s="257">
        <f>+SUM(T683:T684)</f>
        <v>0</v>
      </c>
      <c r="U682" s="257">
        <f>+SUM(U683:U684)</f>
        <v>0</v>
      </c>
      <c r="V682" s="257">
        <f>+SUM(V683:V684)</f>
        <v>0</v>
      </c>
    </row>
    <row r="683" spans="1:22" ht="27.95" hidden="1" customHeight="1">
      <c r="A683" s="229" t="s">
        <v>997</v>
      </c>
      <c r="B683" s="270" t="s">
        <v>960</v>
      </c>
      <c r="C683" s="270">
        <v>93</v>
      </c>
      <c r="D683" s="260" t="s">
        <v>363</v>
      </c>
      <c r="E683" s="260" t="s">
        <v>970</v>
      </c>
      <c r="F683" s="260">
        <v>3</v>
      </c>
      <c r="G683" s="269" t="s">
        <v>960</v>
      </c>
      <c r="H683" s="278" t="s">
        <v>1477</v>
      </c>
      <c r="I683" s="238"/>
      <c r="J683" s="262"/>
      <c r="K683" s="263"/>
      <c r="L683" s="264"/>
      <c r="M683" s="265"/>
      <c r="N683" s="266"/>
      <c r="O683" s="261"/>
      <c r="P683" s="266"/>
      <c r="Q683" s="266"/>
      <c r="R683" s="267"/>
      <c r="S683" s="266"/>
      <c r="T683" s="266"/>
      <c r="U683" s="266"/>
      <c r="V683" s="266"/>
    </row>
    <row r="684" spans="1:22" ht="27.95" hidden="1" customHeight="1">
      <c r="A684" s="260"/>
      <c r="B684" s="269"/>
      <c r="C684" s="260"/>
      <c r="D684" s="260"/>
      <c r="E684" s="260"/>
      <c r="F684" s="260"/>
      <c r="G684" s="260"/>
      <c r="H684" s="290" t="s">
        <v>1482</v>
      </c>
      <c r="I684" s="238"/>
      <c r="J684" s="262">
        <v>150</v>
      </c>
      <c r="K684" s="263" t="s">
        <v>1209</v>
      </c>
      <c r="L684" s="264">
        <v>30000</v>
      </c>
      <c r="M684" s="265">
        <f>+J684*L684</f>
        <v>4500000</v>
      </c>
      <c r="N684" s="266">
        <v>0</v>
      </c>
      <c r="O684" s="261"/>
      <c r="P684" s="266">
        <v>0</v>
      </c>
      <c r="Q684" s="266">
        <f>+N684*P684</f>
        <v>0</v>
      </c>
      <c r="R684" s="267">
        <f>IF(J684="","",Q684/M684)</f>
        <v>0</v>
      </c>
      <c r="S684" s="266">
        <f>+IF(W684="DDS",Q684,0)</f>
        <v>0</v>
      </c>
      <c r="T684" s="266">
        <f>+IF(W684="ADD",Q684,0)</f>
        <v>0</v>
      </c>
      <c r="U684" s="266">
        <f>+IF(W684="DDS",0,IF(W684="ADD",0,Q684))</f>
        <v>0</v>
      </c>
      <c r="V684" s="266">
        <v>0</v>
      </c>
    </row>
    <row r="685" spans="1:22" ht="27.95" customHeight="1">
      <c r="A685" s="229" t="s">
        <v>997</v>
      </c>
      <c r="B685" s="270" t="s">
        <v>963</v>
      </c>
      <c r="C685" s="229" t="s">
        <v>959</v>
      </c>
      <c r="D685" s="229"/>
      <c r="E685" s="270"/>
      <c r="F685" s="229"/>
      <c r="G685" s="229" t="s">
        <v>959</v>
      </c>
      <c r="H685" s="238" t="s">
        <v>173</v>
      </c>
      <c r="I685" s="238"/>
      <c r="J685" s="262"/>
      <c r="K685" s="263"/>
      <c r="L685" s="264"/>
      <c r="M685" s="234">
        <f>M686</f>
        <v>5000000</v>
      </c>
      <c r="N685" s="266"/>
      <c r="O685" s="261"/>
      <c r="P685" s="266"/>
      <c r="Q685" s="234">
        <f>Q686</f>
        <v>5000000</v>
      </c>
      <c r="R685" s="236">
        <f>Q685/M685*100%</f>
        <v>1</v>
      </c>
      <c r="S685" s="234">
        <f>S686</f>
        <v>0</v>
      </c>
      <c r="T685" s="234">
        <f>T686</f>
        <v>0</v>
      </c>
      <c r="U685" s="234">
        <f>U686</f>
        <v>5000000</v>
      </c>
      <c r="V685" s="234">
        <f>V686</f>
        <v>0</v>
      </c>
    </row>
    <row r="686" spans="1:22" ht="27.95" customHeight="1">
      <c r="A686" s="229" t="s">
        <v>997</v>
      </c>
      <c r="B686" s="270" t="s">
        <v>963</v>
      </c>
      <c r="C686" s="270">
        <v>96</v>
      </c>
      <c r="D686" s="229"/>
      <c r="E686" s="270"/>
      <c r="F686" s="270"/>
      <c r="G686" s="229" t="s">
        <v>959</v>
      </c>
      <c r="H686" s="238" t="s">
        <v>1484</v>
      </c>
      <c r="I686" s="238" t="s">
        <v>1485</v>
      </c>
      <c r="J686" s="239"/>
      <c r="K686" s="240">
        <v>1</v>
      </c>
      <c r="L686" s="241" t="s">
        <v>386</v>
      </c>
      <c r="M686" s="234">
        <f>+M687</f>
        <v>5000000</v>
      </c>
      <c r="N686" s="266"/>
      <c r="O686" s="240">
        <v>1</v>
      </c>
      <c r="P686" s="241" t="s">
        <v>386</v>
      </c>
      <c r="Q686" s="234">
        <f>+Q687</f>
        <v>5000000</v>
      </c>
      <c r="R686" s="236">
        <f>Q686/M686*100%</f>
        <v>1</v>
      </c>
      <c r="S686" s="234">
        <f>+S687</f>
        <v>0</v>
      </c>
      <c r="T686" s="234">
        <f>+T687</f>
        <v>0</v>
      </c>
      <c r="U686" s="234">
        <f>+U687</f>
        <v>5000000</v>
      </c>
      <c r="V686" s="234">
        <f>+V687</f>
        <v>0</v>
      </c>
    </row>
    <row r="687" spans="1:22" ht="27.95" hidden="1" customHeight="1">
      <c r="A687" s="229" t="s">
        <v>997</v>
      </c>
      <c r="B687" s="270" t="s">
        <v>963</v>
      </c>
      <c r="C687" s="270">
        <v>96</v>
      </c>
      <c r="D687" s="244" t="s">
        <v>363</v>
      </c>
      <c r="E687" s="244" t="s">
        <v>970</v>
      </c>
      <c r="F687" s="244" t="s">
        <v>959</v>
      </c>
      <c r="G687" s="244" t="s">
        <v>959</v>
      </c>
      <c r="H687" s="245" t="s">
        <v>133</v>
      </c>
      <c r="I687" s="238"/>
      <c r="J687" s="246"/>
      <c r="K687" s="247"/>
      <c r="L687" s="248"/>
      <c r="M687" s="249">
        <f>+M688+M696</f>
        <v>5000000</v>
      </c>
      <c r="N687" s="266"/>
      <c r="O687" s="261"/>
      <c r="P687" s="266"/>
      <c r="Q687" s="249">
        <f>+Q688+Q696</f>
        <v>5000000</v>
      </c>
      <c r="R687" s="267"/>
      <c r="S687" s="249">
        <f>+S688+S696</f>
        <v>0</v>
      </c>
      <c r="T687" s="249">
        <f>+T688+T696</f>
        <v>0</v>
      </c>
      <c r="U687" s="249">
        <f>+U688+U696</f>
        <v>5000000</v>
      </c>
      <c r="V687" s="249">
        <f>+V688+V696</f>
        <v>0</v>
      </c>
    </row>
    <row r="688" spans="1:22" ht="27.95" hidden="1" customHeight="1">
      <c r="A688" s="229" t="s">
        <v>997</v>
      </c>
      <c r="B688" s="270" t="s">
        <v>963</v>
      </c>
      <c r="C688" s="270">
        <v>96</v>
      </c>
      <c r="D688" s="252" t="s">
        <v>363</v>
      </c>
      <c r="E688" s="252" t="s">
        <v>970</v>
      </c>
      <c r="F688" s="252" t="s">
        <v>362</v>
      </c>
      <c r="G688" s="252" t="s">
        <v>959</v>
      </c>
      <c r="H688" s="253" t="s">
        <v>134</v>
      </c>
      <c r="I688" s="238"/>
      <c r="J688" s="254"/>
      <c r="K688" s="255"/>
      <c r="L688" s="256"/>
      <c r="M688" s="257">
        <f>+SUM(M689:M694)</f>
        <v>4600000</v>
      </c>
      <c r="N688" s="266"/>
      <c r="O688" s="261"/>
      <c r="P688" s="266"/>
      <c r="Q688" s="257">
        <f>+SUM(Q689:Q694)</f>
        <v>4600000</v>
      </c>
      <c r="R688" s="267"/>
      <c r="S688" s="257">
        <f>+SUM(S689:S694)</f>
        <v>0</v>
      </c>
      <c r="T688" s="257">
        <f>+SUM(T689:T694)</f>
        <v>0</v>
      </c>
      <c r="U688" s="257">
        <f>+SUM(U689:U694)</f>
        <v>4600000</v>
      </c>
      <c r="V688" s="257">
        <f>+SUM(V689:V694)</f>
        <v>0</v>
      </c>
    </row>
    <row r="689" spans="1:22" ht="27.95" hidden="1" customHeight="1">
      <c r="A689" s="229" t="s">
        <v>997</v>
      </c>
      <c r="B689" s="270" t="s">
        <v>963</v>
      </c>
      <c r="C689" s="270">
        <v>96</v>
      </c>
      <c r="D689" s="260" t="s">
        <v>363</v>
      </c>
      <c r="E689" s="260" t="s">
        <v>970</v>
      </c>
      <c r="F689" s="260" t="s">
        <v>362</v>
      </c>
      <c r="G689" s="260" t="s">
        <v>960</v>
      </c>
      <c r="H689" s="261" t="s">
        <v>245</v>
      </c>
      <c r="I689" s="238"/>
      <c r="J689" s="262">
        <v>1</v>
      </c>
      <c r="K689" s="263" t="s">
        <v>1029</v>
      </c>
      <c r="L689" s="264">
        <v>300000</v>
      </c>
      <c r="M689" s="265">
        <f>+J689*L689</f>
        <v>300000</v>
      </c>
      <c r="N689" s="262">
        <v>1</v>
      </c>
      <c r="O689" s="263" t="s">
        <v>1029</v>
      </c>
      <c r="P689" s="264">
        <v>300000</v>
      </c>
      <c r="Q689" s="266">
        <f>+N689*P689</f>
        <v>300000</v>
      </c>
      <c r="R689" s="267">
        <f>IF(J689="","",Q689/M689)</f>
        <v>1</v>
      </c>
      <c r="S689" s="266">
        <f>+IF(W689="DDS",Q689,0)</f>
        <v>0</v>
      </c>
      <c r="T689" s="266">
        <f>+IF(W689="ADD",Q689,0)</f>
        <v>0</v>
      </c>
      <c r="U689" s="266">
        <f>+IF(W689="DDS",0,IF(W689="ADD",0,Q689))</f>
        <v>300000</v>
      </c>
      <c r="V689" s="266">
        <v>0</v>
      </c>
    </row>
    <row r="690" spans="1:22" ht="27.95" hidden="1" customHeight="1">
      <c r="A690" s="229" t="s">
        <v>997</v>
      </c>
      <c r="B690" s="270" t="s">
        <v>963</v>
      </c>
      <c r="C690" s="270">
        <v>96</v>
      </c>
      <c r="D690" s="260" t="s">
        <v>363</v>
      </c>
      <c r="E690" s="260" t="s">
        <v>970</v>
      </c>
      <c r="F690" s="260" t="s">
        <v>362</v>
      </c>
      <c r="G690" s="260" t="s">
        <v>1038</v>
      </c>
      <c r="H690" s="278" t="s">
        <v>1090</v>
      </c>
      <c r="I690" s="238"/>
      <c r="J690" s="262">
        <v>1</v>
      </c>
      <c r="K690" s="263" t="s">
        <v>1029</v>
      </c>
      <c r="L690" s="264">
        <v>200000</v>
      </c>
      <c r="M690" s="265">
        <f>+J690*L690</f>
        <v>200000</v>
      </c>
      <c r="N690" s="262">
        <v>1</v>
      </c>
      <c r="O690" s="263" t="s">
        <v>1029</v>
      </c>
      <c r="P690" s="264">
        <v>200000</v>
      </c>
      <c r="Q690" s="266">
        <f>+N690*P690</f>
        <v>200000</v>
      </c>
      <c r="R690" s="267">
        <f>IF(J690="","",Q690/M690)</f>
        <v>1</v>
      </c>
      <c r="S690" s="266">
        <f>+IF(W690="DDS",Q690,0)</f>
        <v>0</v>
      </c>
      <c r="T690" s="266">
        <f>+IF(W690="ADD",Q690,0)</f>
        <v>0</v>
      </c>
      <c r="U690" s="266">
        <f>+IF(W690="DDS",0,IF(W690="ADD",0,Q690))</f>
        <v>200000</v>
      </c>
      <c r="V690" s="266">
        <v>0</v>
      </c>
    </row>
    <row r="691" spans="1:22" ht="27.95" hidden="1" customHeight="1">
      <c r="A691" s="229" t="s">
        <v>997</v>
      </c>
      <c r="B691" s="270" t="s">
        <v>963</v>
      </c>
      <c r="C691" s="270">
        <v>96</v>
      </c>
      <c r="D691" s="260" t="s">
        <v>363</v>
      </c>
      <c r="E691" s="260" t="s">
        <v>970</v>
      </c>
      <c r="F691" s="260" t="s">
        <v>362</v>
      </c>
      <c r="G691" s="260" t="s">
        <v>1040</v>
      </c>
      <c r="H691" s="261" t="s">
        <v>252</v>
      </c>
      <c r="I691" s="238"/>
      <c r="J691" s="262">
        <v>100</v>
      </c>
      <c r="K691" s="263" t="s">
        <v>1042</v>
      </c>
      <c r="L691" s="264">
        <v>35000</v>
      </c>
      <c r="M691" s="265">
        <f>+J691*L691</f>
        <v>3500000</v>
      </c>
      <c r="N691" s="262">
        <v>100</v>
      </c>
      <c r="O691" s="263" t="s">
        <v>1042</v>
      </c>
      <c r="P691" s="264">
        <v>35000</v>
      </c>
      <c r="Q691" s="266">
        <f>+N691*P691</f>
        <v>3500000</v>
      </c>
      <c r="R691" s="267">
        <f>IF(J691="","",Q691/M691)</f>
        <v>1</v>
      </c>
      <c r="S691" s="266">
        <f>+IF(W691="DDS",Q691,0)</f>
        <v>0</v>
      </c>
      <c r="T691" s="266">
        <f>+IF(W691="ADD",Q691,0)</f>
        <v>0</v>
      </c>
      <c r="U691" s="266">
        <f>+IF(W691="DDS",0,IF(W691="ADD",0,Q691))</f>
        <v>3500000</v>
      </c>
      <c r="V691" s="266">
        <v>0</v>
      </c>
    </row>
    <row r="692" spans="1:22" ht="27.95" hidden="1" customHeight="1">
      <c r="A692" s="229" t="s">
        <v>997</v>
      </c>
      <c r="B692" s="270" t="s">
        <v>963</v>
      </c>
      <c r="C692" s="270">
        <v>96</v>
      </c>
      <c r="D692" s="260">
        <v>5</v>
      </c>
      <c r="E692" s="260">
        <v>2</v>
      </c>
      <c r="F692" s="260">
        <v>1</v>
      </c>
      <c r="G692" s="260">
        <v>99</v>
      </c>
      <c r="H692" s="261" t="s">
        <v>1476</v>
      </c>
      <c r="I692" s="238"/>
      <c r="J692" s="262"/>
      <c r="K692" s="263"/>
      <c r="L692" s="264"/>
      <c r="M692" s="265"/>
      <c r="N692" s="266"/>
      <c r="O692" s="261"/>
      <c r="P692" s="266"/>
      <c r="Q692" s="266"/>
      <c r="R692" s="267"/>
      <c r="S692" s="266"/>
      <c r="T692" s="266"/>
      <c r="U692" s="266"/>
      <c r="V692" s="266"/>
    </row>
    <row r="693" spans="1:22" ht="27.95" hidden="1" customHeight="1">
      <c r="A693" s="260"/>
      <c r="B693" s="269"/>
      <c r="C693" s="260"/>
      <c r="D693" s="260"/>
      <c r="E693" s="260"/>
      <c r="F693" s="260"/>
      <c r="G693" s="260"/>
      <c r="H693" s="268" t="s">
        <v>1225</v>
      </c>
      <c r="I693" s="238"/>
      <c r="J693" s="262">
        <v>6</v>
      </c>
      <c r="K693" s="263" t="s">
        <v>1191</v>
      </c>
      <c r="L693" s="264">
        <v>25000</v>
      </c>
      <c r="M693" s="265">
        <f>+J693*L693</f>
        <v>150000</v>
      </c>
      <c r="N693" s="262">
        <v>6</v>
      </c>
      <c r="O693" s="263" t="s">
        <v>1191</v>
      </c>
      <c r="P693" s="264">
        <v>25000</v>
      </c>
      <c r="Q693" s="266">
        <f>+N693*P693</f>
        <v>150000</v>
      </c>
      <c r="R693" s="267">
        <f>IF(J693="","",Q693/M693)</f>
        <v>1</v>
      </c>
      <c r="S693" s="266">
        <f>+IF(W693="DDS",Q693,0)</f>
        <v>0</v>
      </c>
      <c r="T693" s="266">
        <f>+IF(W693="ADD",Q693,0)</f>
        <v>0</v>
      </c>
      <c r="U693" s="266">
        <f>+IF(W693="DDS",0,IF(W693="ADD",0,Q693))</f>
        <v>150000</v>
      </c>
      <c r="V693" s="266">
        <v>0</v>
      </c>
    </row>
    <row r="694" spans="1:22" ht="27.95" hidden="1" customHeight="1">
      <c r="A694" s="260"/>
      <c r="B694" s="269"/>
      <c r="C694" s="260"/>
      <c r="D694" s="260"/>
      <c r="E694" s="260"/>
      <c r="F694" s="260"/>
      <c r="G694" s="260"/>
      <c r="H694" s="268" t="s">
        <v>1486</v>
      </c>
      <c r="I694" s="238"/>
      <c r="J694" s="262">
        <v>1</v>
      </c>
      <c r="K694" s="263" t="s">
        <v>1029</v>
      </c>
      <c r="L694" s="264">
        <v>450000</v>
      </c>
      <c r="M694" s="265">
        <f>+J694*L694</f>
        <v>450000</v>
      </c>
      <c r="N694" s="262">
        <v>1</v>
      </c>
      <c r="O694" s="263" t="s">
        <v>1029</v>
      </c>
      <c r="P694" s="264">
        <v>450000</v>
      </c>
      <c r="Q694" s="266">
        <f>+N694*P694</f>
        <v>450000</v>
      </c>
      <c r="R694" s="267">
        <f>IF(J694="","",Q694/M694)</f>
        <v>1</v>
      </c>
      <c r="S694" s="266">
        <f>+IF(W694="DDS",Q694,0)</f>
        <v>0</v>
      </c>
      <c r="T694" s="266">
        <f>+IF(W694="ADD",Q694,0)</f>
        <v>0</v>
      </c>
      <c r="U694" s="266">
        <f>+IF(W694="DDS",0,IF(W694="ADD",0,Q694))</f>
        <v>450000</v>
      </c>
      <c r="V694" s="266">
        <v>0</v>
      </c>
    </row>
    <row r="695" spans="1:22" ht="27.95" hidden="1" customHeight="1">
      <c r="A695" s="229" t="s">
        <v>997</v>
      </c>
      <c r="B695" s="270" t="s">
        <v>963</v>
      </c>
      <c r="C695" s="270">
        <v>96</v>
      </c>
      <c r="D695" s="252">
        <v>5</v>
      </c>
      <c r="E695" s="252">
        <v>2</v>
      </c>
      <c r="F695" s="252">
        <v>2</v>
      </c>
      <c r="G695" s="252"/>
      <c r="H695" s="253" t="s">
        <v>1278</v>
      </c>
      <c r="I695" s="238"/>
      <c r="J695" s="254"/>
      <c r="K695" s="255"/>
      <c r="L695" s="256"/>
      <c r="M695" s="257"/>
      <c r="N695" s="254"/>
      <c r="O695" s="255"/>
      <c r="P695" s="256"/>
      <c r="Q695" s="266"/>
      <c r="R695" s="267"/>
      <c r="S695" s="266"/>
      <c r="T695" s="266"/>
      <c r="U695" s="266"/>
      <c r="V695" s="266"/>
    </row>
    <row r="696" spans="1:22" ht="27.95" hidden="1" customHeight="1">
      <c r="A696" s="229" t="s">
        <v>997</v>
      </c>
      <c r="B696" s="270" t="s">
        <v>963</v>
      </c>
      <c r="C696" s="270">
        <v>96</v>
      </c>
      <c r="D696" s="260">
        <v>5</v>
      </c>
      <c r="E696" s="260">
        <v>2</v>
      </c>
      <c r="F696" s="260">
        <v>2</v>
      </c>
      <c r="G696" s="269" t="s">
        <v>1002</v>
      </c>
      <c r="H696" s="268" t="s">
        <v>1481</v>
      </c>
      <c r="I696" s="238"/>
      <c r="J696" s="262">
        <v>4</v>
      </c>
      <c r="K696" s="263" t="s">
        <v>1199</v>
      </c>
      <c r="L696" s="264">
        <v>100000</v>
      </c>
      <c r="M696" s="265">
        <f>+J696*L696</f>
        <v>400000</v>
      </c>
      <c r="N696" s="262">
        <v>4</v>
      </c>
      <c r="O696" s="263" t="s">
        <v>1199</v>
      </c>
      <c r="P696" s="264">
        <v>100000</v>
      </c>
      <c r="Q696" s="266">
        <f>+N696*P696</f>
        <v>400000</v>
      </c>
      <c r="R696" s="267">
        <f t="shared" ref="R696:R715" si="113">IF(J696="","",Q696/M696)</f>
        <v>1</v>
      </c>
      <c r="S696" s="266">
        <f>+IF(W696="DDS",Q696,0)</f>
        <v>0</v>
      </c>
      <c r="T696" s="266">
        <f>+IF(W696="ADD",Q696,0)</f>
        <v>0</v>
      </c>
      <c r="U696" s="266">
        <f>+IF(W696="DDS",0,IF(W696="ADD",0,Q696))</f>
        <v>400000</v>
      </c>
      <c r="V696" s="266">
        <v>0</v>
      </c>
    </row>
    <row r="697" spans="1:22" ht="27.95" customHeight="1">
      <c r="A697" s="229" t="s">
        <v>997</v>
      </c>
      <c r="B697" s="229" t="s">
        <v>995</v>
      </c>
      <c r="C697" s="229" t="s">
        <v>959</v>
      </c>
      <c r="D697" s="229"/>
      <c r="E697" s="229"/>
      <c r="F697" s="229"/>
      <c r="G697" s="229" t="s">
        <v>959</v>
      </c>
      <c r="H697" s="238" t="s">
        <v>174</v>
      </c>
      <c r="I697" s="238"/>
      <c r="J697" s="231"/>
      <c r="K697" s="232"/>
      <c r="L697" s="237"/>
      <c r="M697" s="234">
        <f>+M698</f>
        <v>3200000</v>
      </c>
      <c r="N697" s="266"/>
      <c r="O697" s="261"/>
      <c r="P697" s="266"/>
      <c r="Q697" s="234">
        <f>+Q698</f>
        <v>3200000</v>
      </c>
      <c r="R697" s="236">
        <f>Q697/M697*100%</f>
        <v>1</v>
      </c>
      <c r="S697" s="234">
        <f t="shared" ref="S697:V699" si="114">+S698</f>
        <v>0</v>
      </c>
      <c r="T697" s="234">
        <f t="shared" si="114"/>
        <v>0</v>
      </c>
      <c r="U697" s="234">
        <f t="shared" si="114"/>
        <v>3200000</v>
      </c>
      <c r="V697" s="234">
        <f t="shared" si="114"/>
        <v>0</v>
      </c>
    </row>
    <row r="698" spans="1:22" ht="27.95" customHeight="1">
      <c r="A698" s="229" t="s">
        <v>997</v>
      </c>
      <c r="B698" s="229" t="s">
        <v>995</v>
      </c>
      <c r="C698" s="229">
        <v>93</v>
      </c>
      <c r="D698" s="229"/>
      <c r="E698" s="229"/>
      <c r="F698" s="270"/>
      <c r="G698" s="229" t="s">
        <v>959</v>
      </c>
      <c r="H698" s="238" t="s">
        <v>1487</v>
      </c>
      <c r="I698" s="238" t="s">
        <v>1488</v>
      </c>
      <c r="J698" s="239"/>
      <c r="K698" s="240">
        <v>12</v>
      </c>
      <c r="L698" s="241" t="s">
        <v>1073</v>
      </c>
      <c r="M698" s="234">
        <f>+M699</f>
        <v>3200000</v>
      </c>
      <c r="N698" s="266"/>
      <c r="O698" s="240">
        <v>12</v>
      </c>
      <c r="P698" s="241" t="s">
        <v>1073</v>
      </c>
      <c r="Q698" s="234">
        <f>+Q699</f>
        <v>3200000</v>
      </c>
      <c r="R698" s="236">
        <f>Q698/M698*100%</f>
        <v>1</v>
      </c>
      <c r="S698" s="234">
        <f t="shared" si="114"/>
        <v>0</v>
      </c>
      <c r="T698" s="234">
        <f t="shared" si="114"/>
        <v>0</v>
      </c>
      <c r="U698" s="234">
        <f t="shared" si="114"/>
        <v>3200000</v>
      </c>
      <c r="V698" s="234">
        <f t="shared" si="114"/>
        <v>0</v>
      </c>
    </row>
    <row r="699" spans="1:22" ht="27.95" hidden="1" customHeight="1">
      <c r="A699" s="260" t="s">
        <v>997</v>
      </c>
      <c r="B699" s="260" t="s">
        <v>995</v>
      </c>
      <c r="C699" s="260">
        <v>93</v>
      </c>
      <c r="D699" s="244" t="s">
        <v>363</v>
      </c>
      <c r="E699" s="244" t="s">
        <v>970</v>
      </c>
      <c r="F699" s="244" t="s">
        <v>959</v>
      </c>
      <c r="G699" s="244" t="s">
        <v>959</v>
      </c>
      <c r="H699" s="245" t="s">
        <v>133</v>
      </c>
      <c r="I699" s="238"/>
      <c r="J699" s="246"/>
      <c r="K699" s="247"/>
      <c r="L699" s="248"/>
      <c r="M699" s="249">
        <f>+M700</f>
        <v>3200000</v>
      </c>
      <c r="N699" s="266"/>
      <c r="O699" s="261"/>
      <c r="P699" s="266"/>
      <c r="Q699" s="249">
        <f>+Q700</f>
        <v>3200000</v>
      </c>
      <c r="R699" s="267" t="str">
        <f t="shared" si="113"/>
        <v/>
      </c>
      <c r="S699" s="249">
        <f t="shared" si="114"/>
        <v>0</v>
      </c>
      <c r="T699" s="249">
        <f t="shared" si="114"/>
        <v>0</v>
      </c>
      <c r="U699" s="249">
        <f t="shared" si="114"/>
        <v>3200000</v>
      </c>
      <c r="V699" s="249">
        <f t="shared" si="114"/>
        <v>0</v>
      </c>
    </row>
    <row r="700" spans="1:22" ht="27.95" hidden="1" customHeight="1">
      <c r="A700" s="229" t="s">
        <v>997</v>
      </c>
      <c r="B700" s="229" t="s">
        <v>995</v>
      </c>
      <c r="C700" s="229">
        <v>93</v>
      </c>
      <c r="D700" s="252" t="s">
        <v>363</v>
      </c>
      <c r="E700" s="252" t="s">
        <v>970</v>
      </c>
      <c r="F700" s="252" t="s">
        <v>362</v>
      </c>
      <c r="G700" s="252" t="s">
        <v>959</v>
      </c>
      <c r="H700" s="253" t="s">
        <v>134</v>
      </c>
      <c r="I700" s="238"/>
      <c r="J700" s="254"/>
      <c r="K700" s="255"/>
      <c r="L700" s="256"/>
      <c r="M700" s="257">
        <f>+SUM(M701:M705)</f>
        <v>3200000</v>
      </c>
      <c r="N700" s="266"/>
      <c r="O700" s="261"/>
      <c r="P700" s="266"/>
      <c r="Q700" s="257">
        <f>+SUM(Q701:Q705)</f>
        <v>3200000</v>
      </c>
      <c r="R700" s="267" t="str">
        <f t="shared" si="113"/>
        <v/>
      </c>
      <c r="S700" s="257">
        <f>+SUM(S701:S705)</f>
        <v>0</v>
      </c>
      <c r="T700" s="257">
        <f>+SUM(T701:T705)</f>
        <v>0</v>
      </c>
      <c r="U700" s="257">
        <f>+SUM(U701:U705)</f>
        <v>3200000</v>
      </c>
      <c r="V700" s="257">
        <f>+SUM(V701:V705)</f>
        <v>0</v>
      </c>
    </row>
    <row r="701" spans="1:22" ht="27.95" hidden="1" customHeight="1">
      <c r="A701" s="260" t="s">
        <v>997</v>
      </c>
      <c r="B701" s="260" t="s">
        <v>995</v>
      </c>
      <c r="C701" s="260">
        <v>93</v>
      </c>
      <c r="D701" s="260" t="s">
        <v>363</v>
      </c>
      <c r="E701" s="260" t="s">
        <v>970</v>
      </c>
      <c r="F701" s="260" t="s">
        <v>362</v>
      </c>
      <c r="G701" s="260" t="s">
        <v>960</v>
      </c>
      <c r="H701" s="261" t="s">
        <v>245</v>
      </c>
      <c r="I701" s="238"/>
      <c r="J701" s="262">
        <v>1</v>
      </c>
      <c r="K701" s="263" t="s">
        <v>1029</v>
      </c>
      <c r="L701" s="264">
        <v>300000</v>
      </c>
      <c r="M701" s="265">
        <f>+J701*L701</f>
        <v>300000</v>
      </c>
      <c r="N701" s="262">
        <v>1</v>
      </c>
      <c r="O701" s="263" t="s">
        <v>1029</v>
      </c>
      <c r="P701" s="264">
        <v>300000</v>
      </c>
      <c r="Q701" s="266">
        <f>+N701*P701</f>
        <v>300000</v>
      </c>
      <c r="R701" s="267">
        <f t="shared" si="113"/>
        <v>1</v>
      </c>
      <c r="S701" s="266">
        <f>+IF(W701="DDS",Q701,0)</f>
        <v>0</v>
      </c>
      <c r="T701" s="266">
        <f>+IF(W701="ADD",Q701,0)</f>
        <v>0</v>
      </c>
      <c r="U701" s="266">
        <f>+IF(W701="DDS",0,IF(W701="ADD",0,Q701))</f>
        <v>300000</v>
      </c>
      <c r="V701" s="266">
        <v>0</v>
      </c>
    </row>
    <row r="702" spans="1:22" ht="27.95" hidden="1" customHeight="1">
      <c r="A702" s="260" t="s">
        <v>997</v>
      </c>
      <c r="B702" s="260" t="s">
        <v>995</v>
      </c>
      <c r="C702" s="260">
        <v>93</v>
      </c>
      <c r="D702" s="260" t="s">
        <v>363</v>
      </c>
      <c r="E702" s="260" t="s">
        <v>970</v>
      </c>
      <c r="F702" s="260" t="s">
        <v>362</v>
      </c>
      <c r="G702" s="260" t="s">
        <v>1038</v>
      </c>
      <c r="H702" s="278" t="s">
        <v>1090</v>
      </c>
      <c r="I702" s="238"/>
      <c r="J702" s="262">
        <v>1</v>
      </c>
      <c r="K702" s="263" t="s">
        <v>1029</v>
      </c>
      <c r="L702" s="264">
        <v>150000</v>
      </c>
      <c r="M702" s="265">
        <f>+J702*L702</f>
        <v>150000</v>
      </c>
      <c r="N702" s="262">
        <v>1</v>
      </c>
      <c r="O702" s="263" t="s">
        <v>1029</v>
      </c>
      <c r="P702" s="264">
        <v>150000</v>
      </c>
      <c r="Q702" s="266">
        <f>+N702*P702</f>
        <v>150000</v>
      </c>
      <c r="R702" s="267">
        <f t="shared" si="113"/>
        <v>1</v>
      </c>
      <c r="S702" s="266">
        <f>+IF(W702="DDS",Q702,0)</f>
        <v>0</v>
      </c>
      <c r="T702" s="266">
        <f>+IF(W702="ADD",Q702,0)</f>
        <v>0</v>
      </c>
      <c r="U702" s="266">
        <f>+IF(W702="DDS",0,IF(W702="ADD",0,Q702))</f>
        <v>150000</v>
      </c>
      <c r="V702" s="266">
        <v>0</v>
      </c>
    </row>
    <row r="703" spans="1:22" ht="27.95" hidden="1" customHeight="1">
      <c r="A703" s="260" t="s">
        <v>997</v>
      </c>
      <c r="B703" s="260" t="s">
        <v>995</v>
      </c>
      <c r="C703" s="260">
        <v>93</v>
      </c>
      <c r="D703" s="260" t="s">
        <v>363</v>
      </c>
      <c r="E703" s="260" t="s">
        <v>970</v>
      </c>
      <c r="F703" s="260" t="s">
        <v>362</v>
      </c>
      <c r="G703" s="260" t="s">
        <v>1040</v>
      </c>
      <c r="H703" s="261" t="s">
        <v>252</v>
      </c>
      <c r="I703" s="238"/>
      <c r="J703" s="262"/>
      <c r="K703" s="263"/>
      <c r="L703" s="264"/>
      <c r="M703" s="265"/>
      <c r="N703" s="266">
        <v>0</v>
      </c>
      <c r="O703" s="261"/>
      <c r="P703" s="266">
        <v>0</v>
      </c>
      <c r="Q703" s="266">
        <f>+N703*P703</f>
        <v>0</v>
      </c>
      <c r="R703" s="267" t="str">
        <f t="shared" si="113"/>
        <v/>
      </c>
      <c r="S703" s="266">
        <f>+IF(W703="DDS",Q703,0)</f>
        <v>0</v>
      </c>
      <c r="T703" s="266">
        <f>+IF(W703="ADD",Q703,0)</f>
        <v>0</v>
      </c>
      <c r="U703" s="266">
        <f>+IF(W703="DDS",0,IF(W703="ADD",0,Q703))</f>
        <v>0</v>
      </c>
      <c r="V703" s="266">
        <v>0</v>
      </c>
    </row>
    <row r="704" spans="1:22" ht="27.95" hidden="1" customHeight="1">
      <c r="A704" s="260"/>
      <c r="B704" s="260"/>
      <c r="C704" s="260"/>
      <c r="D704" s="260"/>
      <c r="E704" s="260"/>
      <c r="F704" s="260"/>
      <c r="G704" s="260"/>
      <c r="H704" s="268" t="s">
        <v>1092</v>
      </c>
      <c r="I704" s="238"/>
      <c r="J704" s="262">
        <v>50</v>
      </c>
      <c r="K704" s="263" t="s">
        <v>1042</v>
      </c>
      <c r="L704" s="264">
        <v>35000</v>
      </c>
      <c r="M704" s="265">
        <f>+J704*L704</f>
        <v>1750000</v>
      </c>
      <c r="N704" s="262">
        <v>50</v>
      </c>
      <c r="O704" s="263" t="s">
        <v>1042</v>
      </c>
      <c r="P704" s="264">
        <v>35000</v>
      </c>
      <c r="Q704" s="266">
        <f>+N704*P704</f>
        <v>1750000</v>
      </c>
      <c r="R704" s="267">
        <f t="shared" si="113"/>
        <v>1</v>
      </c>
      <c r="S704" s="266">
        <f>+IF(W704="DDS",Q704,0)</f>
        <v>0</v>
      </c>
      <c r="T704" s="266">
        <f>+IF(W704="ADD",Q704,0)</f>
        <v>0</v>
      </c>
      <c r="U704" s="266">
        <f>+IF(W704="DDS",0,IF(W704="ADD",0,Q704))</f>
        <v>1750000</v>
      </c>
      <c r="V704" s="266">
        <v>0</v>
      </c>
    </row>
    <row r="705" spans="1:22" ht="27.95" hidden="1" customHeight="1">
      <c r="A705" s="260"/>
      <c r="B705" s="260"/>
      <c r="C705" s="260"/>
      <c r="D705" s="260"/>
      <c r="E705" s="260"/>
      <c r="F705" s="260"/>
      <c r="G705" s="260"/>
      <c r="H705" s="268" t="s">
        <v>1218</v>
      </c>
      <c r="I705" s="238"/>
      <c r="J705" s="262">
        <v>100</v>
      </c>
      <c r="K705" s="263" t="s">
        <v>1042</v>
      </c>
      <c r="L705" s="264">
        <v>10000</v>
      </c>
      <c r="M705" s="265">
        <f>+J705*L705</f>
        <v>1000000</v>
      </c>
      <c r="N705" s="262">
        <v>100</v>
      </c>
      <c r="O705" s="263" t="s">
        <v>1042</v>
      </c>
      <c r="P705" s="264">
        <v>10000</v>
      </c>
      <c r="Q705" s="266">
        <f>+N705*P705</f>
        <v>1000000</v>
      </c>
      <c r="R705" s="267">
        <f t="shared" si="113"/>
        <v>1</v>
      </c>
      <c r="S705" s="266">
        <f>+IF(W705="DDS",Q705,0)</f>
        <v>0</v>
      </c>
      <c r="T705" s="266">
        <f>+IF(W705="ADD",Q705,0)</f>
        <v>0</v>
      </c>
      <c r="U705" s="266">
        <f>+IF(W705="DDS",0,IF(W705="ADD",0,Q705))</f>
        <v>1000000</v>
      </c>
      <c r="V705" s="266">
        <v>0</v>
      </c>
    </row>
    <row r="706" spans="1:22" ht="27.95" customHeight="1">
      <c r="A706" s="229" t="s">
        <v>997</v>
      </c>
      <c r="B706" s="229" t="s">
        <v>1002</v>
      </c>
      <c r="C706" s="229" t="s">
        <v>959</v>
      </c>
      <c r="D706" s="229"/>
      <c r="E706" s="229"/>
      <c r="F706" s="229"/>
      <c r="G706" s="229" t="s">
        <v>959</v>
      </c>
      <c r="H706" s="238" t="s">
        <v>175</v>
      </c>
      <c r="I706" s="230"/>
      <c r="J706" s="231"/>
      <c r="K706" s="232"/>
      <c r="L706" s="237"/>
      <c r="M706" s="234">
        <f>M707+M718+M758+M766+M733</f>
        <v>59980000</v>
      </c>
      <c r="N706" s="266">
        <v>0</v>
      </c>
      <c r="O706" s="261"/>
      <c r="P706" s="266">
        <v>0</v>
      </c>
      <c r="Q706" s="234">
        <f>+Q718+Q766+Q758+Q707+Q733</f>
        <v>56615000</v>
      </c>
      <c r="R706" s="236">
        <f>Q706/M706*100%</f>
        <v>0.94389796598866293</v>
      </c>
      <c r="S706" s="234">
        <f>+S718+S766+S758+S707+S733</f>
        <v>0</v>
      </c>
      <c r="T706" s="234">
        <f>+T718+T766+T758+T707+T733</f>
        <v>0</v>
      </c>
      <c r="U706" s="234">
        <f>+U718+U766+U758+U707+U733</f>
        <v>56615000</v>
      </c>
      <c r="V706" s="234">
        <f>+V718+V766+V758+V707+V733</f>
        <v>0</v>
      </c>
    </row>
    <row r="707" spans="1:22" ht="27.95" customHeight="1">
      <c r="A707" s="229" t="s">
        <v>997</v>
      </c>
      <c r="B707" s="229" t="s">
        <v>1002</v>
      </c>
      <c r="C707" s="229">
        <v>91</v>
      </c>
      <c r="D707" s="229"/>
      <c r="E707" s="229"/>
      <c r="F707" s="229"/>
      <c r="G707" s="229" t="s">
        <v>959</v>
      </c>
      <c r="H707" s="238" t="s">
        <v>551</v>
      </c>
      <c r="I707" s="238" t="s">
        <v>1489</v>
      </c>
      <c r="J707" s="239"/>
      <c r="K707" s="240">
        <v>12</v>
      </c>
      <c r="L707" s="241" t="s">
        <v>1073</v>
      </c>
      <c r="M707" s="234">
        <f>+M708</f>
        <v>7500000</v>
      </c>
      <c r="N707" s="266">
        <v>0</v>
      </c>
      <c r="O707" s="240">
        <v>12</v>
      </c>
      <c r="P707" s="241" t="s">
        <v>1073</v>
      </c>
      <c r="Q707" s="234">
        <f>+Q708</f>
        <v>6900000</v>
      </c>
      <c r="R707" s="236">
        <f>Q707/M707*100%</f>
        <v>0.92</v>
      </c>
      <c r="S707" s="234">
        <f>+S708</f>
        <v>0</v>
      </c>
      <c r="T707" s="234">
        <f>+T708</f>
        <v>0</v>
      </c>
      <c r="U707" s="234">
        <f>+U708</f>
        <v>6900000</v>
      </c>
      <c r="V707" s="234">
        <f>+V708</f>
        <v>0</v>
      </c>
    </row>
    <row r="708" spans="1:22" ht="27.95" hidden="1" customHeight="1">
      <c r="A708" s="229">
        <v>3</v>
      </c>
      <c r="B708" s="270" t="s">
        <v>1002</v>
      </c>
      <c r="C708" s="270" t="s">
        <v>995</v>
      </c>
      <c r="D708" s="244" t="s">
        <v>363</v>
      </c>
      <c r="E708" s="244" t="s">
        <v>970</v>
      </c>
      <c r="F708" s="244" t="s">
        <v>959</v>
      </c>
      <c r="G708" s="244" t="s">
        <v>959</v>
      </c>
      <c r="H708" s="245" t="s">
        <v>1026</v>
      </c>
      <c r="I708" s="238"/>
      <c r="J708" s="246"/>
      <c r="K708" s="247"/>
      <c r="L708" s="248"/>
      <c r="M708" s="249">
        <f>+M709+M713+M715</f>
        <v>7500000</v>
      </c>
      <c r="N708" s="266">
        <v>0</v>
      </c>
      <c r="O708" s="261"/>
      <c r="P708" s="266">
        <v>0</v>
      </c>
      <c r="Q708" s="249">
        <f>+Q709+Q713+Q715</f>
        <v>6900000</v>
      </c>
      <c r="R708" s="267" t="str">
        <f t="shared" si="113"/>
        <v/>
      </c>
      <c r="S708" s="249">
        <f>+S709+S713+S715</f>
        <v>0</v>
      </c>
      <c r="T708" s="249">
        <f>+T709+T713+T715</f>
        <v>0</v>
      </c>
      <c r="U708" s="249">
        <f>+U709+U713+U715</f>
        <v>6900000</v>
      </c>
      <c r="V708" s="249">
        <f>+V709+V713+V715</f>
        <v>0</v>
      </c>
    </row>
    <row r="709" spans="1:22" ht="27.95" hidden="1" customHeight="1">
      <c r="A709" s="229">
        <v>3</v>
      </c>
      <c r="B709" s="270" t="s">
        <v>1002</v>
      </c>
      <c r="C709" s="270" t="s">
        <v>995</v>
      </c>
      <c r="D709" s="252" t="s">
        <v>363</v>
      </c>
      <c r="E709" s="252" t="s">
        <v>970</v>
      </c>
      <c r="F709" s="252" t="s">
        <v>362</v>
      </c>
      <c r="G709" s="252" t="s">
        <v>959</v>
      </c>
      <c r="H709" s="253" t="s">
        <v>134</v>
      </c>
      <c r="I709" s="238"/>
      <c r="J709" s="254"/>
      <c r="K709" s="255"/>
      <c r="L709" s="256"/>
      <c r="M709" s="257">
        <f>+SUM(M710:M712)</f>
        <v>900000</v>
      </c>
      <c r="N709" s="266">
        <v>0</v>
      </c>
      <c r="O709" s="261"/>
      <c r="P709" s="266">
        <v>0</v>
      </c>
      <c r="Q709" s="257">
        <f>+SUM(Q710:Q712)</f>
        <v>300000</v>
      </c>
      <c r="R709" s="267" t="str">
        <f t="shared" si="113"/>
        <v/>
      </c>
      <c r="S709" s="257">
        <f>+SUM(S710:S712)</f>
        <v>0</v>
      </c>
      <c r="T709" s="257">
        <f>+SUM(T710:T712)</f>
        <v>0</v>
      </c>
      <c r="U709" s="257">
        <f>+SUM(U710:U712)</f>
        <v>300000</v>
      </c>
      <c r="V709" s="257">
        <f>+SUM(V710:V712)</f>
        <v>0</v>
      </c>
    </row>
    <row r="710" spans="1:22" ht="27.95" hidden="1" customHeight="1">
      <c r="A710" s="260">
        <v>3</v>
      </c>
      <c r="B710" s="269" t="s">
        <v>1002</v>
      </c>
      <c r="C710" s="269" t="s">
        <v>995</v>
      </c>
      <c r="D710" s="260" t="s">
        <v>363</v>
      </c>
      <c r="E710" s="260" t="s">
        <v>970</v>
      </c>
      <c r="F710" s="260" t="s">
        <v>362</v>
      </c>
      <c r="G710" s="260">
        <v>1</v>
      </c>
      <c r="H710" s="261" t="s">
        <v>1490</v>
      </c>
      <c r="I710" s="238"/>
      <c r="J710" s="262">
        <v>1</v>
      </c>
      <c r="K710" s="263" t="s">
        <v>1029</v>
      </c>
      <c r="L710" s="264">
        <v>200000</v>
      </c>
      <c r="M710" s="265">
        <f>+J710*L710</f>
        <v>200000</v>
      </c>
      <c r="N710" s="266">
        <v>0</v>
      </c>
      <c r="O710" s="261"/>
      <c r="P710" s="266">
        <v>0</v>
      </c>
      <c r="Q710" s="266">
        <f>+N710*P710</f>
        <v>0</v>
      </c>
      <c r="R710" s="267">
        <f t="shared" si="113"/>
        <v>0</v>
      </c>
      <c r="S710" s="266">
        <f>+IF(W710="DDS",Q710,0)</f>
        <v>0</v>
      </c>
      <c r="T710" s="266">
        <f>+IF(W710="ADD",Q710,0)</f>
        <v>0</v>
      </c>
      <c r="U710" s="266">
        <f>+IF(W710="DDS",0,IF(W710="ADD",0,Q710))</f>
        <v>0</v>
      </c>
      <c r="V710" s="266">
        <v>0</v>
      </c>
    </row>
    <row r="711" spans="1:22" ht="27.95" hidden="1" customHeight="1">
      <c r="A711" s="260">
        <v>3</v>
      </c>
      <c r="B711" s="269" t="s">
        <v>1002</v>
      </c>
      <c r="C711" s="269" t="s">
        <v>995</v>
      </c>
      <c r="D711" s="260" t="s">
        <v>363</v>
      </c>
      <c r="E711" s="260" t="s">
        <v>970</v>
      </c>
      <c r="F711" s="260" t="s">
        <v>362</v>
      </c>
      <c r="G711" s="260" t="s">
        <v>1038</v>
      </c>
      <c r="H711" s="261" t="s">
        <v>1090</v>
      </c>
      <c r="I711" s="238"/>
      <c r="J711" s="262">
        <v>1</v>
      </c>
      <c r="K711" s="263" t="s">
        <v>1029</v>
      </c>
      <c r="L711" s="264">
        <v>400000</v>
      </c>
      <c r="M711" s="265">
        <f>+J711*L711</f>
        <v>400000</v>
      </c>
      <c r="N711" s="266">
        <v>0</v>
      </c>
      <c r="O711" s="261"/>
      <c r="P711" s="266">
        <v>0</v>
      </c>
      <c r="Q711" s="266">
        <f>+N711*P711</f>
        <v>0</v>
      </c>
      <c r="R711" s="267">
        <f t="shared" si="113"/>
        <v>0</v>
      </c>
      <c r="S711" s="266">
        <f>+IF(W711="DDS",Q711,0)</f>
        <v>0</v>
      </c>
      <c r="T711" s="266">
        <f>+IF(W711="ADD",Q711,0)</f>
        <v>0</v>
      </c>
      <c r="U711" s="266">
        <f>+IF(W711="DDS",0,IF(W711="ADD",0,Q711))</f>
        <v>0</v>
      </c>
      <c r="V711" s="266">
        <v>0</v>
      </c>
    </row>
    <row r="712" spans="1:22" ht="27.95" hidden="1" customHeight="1">
      <c r="A712" s="260">
        <v>3</v>
      </c>
      <c r="B712" s="269" t="s">
        <v>1002</v>
      </c>
      <c r="C712" s="269" t="s">
        <v>995</v>
      </c>
      <c r="D712" s="260" t="s">
        <v>363</v>
      </c>
      <c r="E712" s="260" t="s">
        <v>970</v>
      </c>
      <c r="F712" s="260" t="s">
        <v>362</v>
      </c>
      <c r="G712" s="260" t="s">
        <v>1040</v>
      </c>
      <c r="H712" s="261" t="s">
        <v>252</v>
      </c>
      <c r="I712" s="230"/>
      <c r="J712" s="262">
        <v>30</v>
      </c>
      <c r="K712" s="263" t="s">
        <v>1042</v>
      </c>
      <c r="L712" s="264">
        <v>10000</v>
      </c>
      <c r="M712" s="265">
        <f>+J712*L712</f>
        <v>300000</v>
      </c>
      <c r="N712" s="262">
        <v>30</v>
      </c>
      <c r="O712" s="263" t="s">
        <v>1042</v>
      </c>
      <c r="P712" s="264">
        <v>10000</v>
      </c>
      <c r="Q712" s="266">
        <f>+N712*P712</f>
        <v>300000</v>
      </c>
      <c r="R712" s="267">
        <f t="shared" si="113"/>
        <v>1</v>
      </c>
      <c r="S712" s="266">
        <f>+IF(W712="DDS",Q712,0)</f>
        <v>0</v>
      </c>
      <c r="T712" s="266">
        <f>+IF(W712="ADD",Q712,0)</f>
        <v>0</v>
      </c>
      <c r="U712" s="266">
        <f>+IF(W712="DDS",0,IF(W712="ADD",0,Q712))</f>
        <v>300000</v>
      </c>
      <c r="V712" s="266">
        <v>0</v>
      </c>
    </row>
    <row r="713" spans="1:22" ht="27.95" hidden="1" customHeight="1">
      <c r="A713" s="229">
        <v>3</v>
      </c>
      <c r="B713" s="270" t="s">
        <v>1002</v>
      </c>
      <c r="C713" s="270" t="s">
        <v>995</v>
      </c>
      <c r="D713" s="260" t="s">
        <v>363</v>
      </c>
      <c r="E713" s="260" t="s">
        <v>970</v>
      </c>
      <c r="F713" s="260">
        <v>1</v>
      </c>
      <c r="G713" s="260">
        <v>99</v>
      </c>
      <c r="H713" s="261" t="s">
        <v>1491</v>
      </c>
      <c r="I713" s="238"/>
      <c r="J713" s="262"/>
      <c r="K713" s="263"/>
      <c r="L713" s="264"/>
      <c r="M713" s="265">
        <f>M714</f>
        <v>1800000</v>
      </c>
      <c r="N713" s="266">
        <v>0</v>
      </c>
      <c r="O713" s="261"/>
      <c r="P713" s="266">
        <v>0</v>
      </c>
      <c r="Q713" s="265">
        <f>Q714</f>
        <v>1800000</v>
      </c>
      <c r="R713" s="267" t="str">
        <f t="shared" si="113"/>
        <v/>
      </c>
      <c r="S713" s="266">
        <f>+IF(W713="DDS",Q713,0)</f>
        <v>0</v>
      </c>
      <c r="T713" s="266">
        <f>+IF(W713="ADD",Q713,0)</f>
        <v>0</v>
      </c>
      <c r="U713" s="266">
        <f>+IF(W713="DDS",0,IF(W713="ADD",0,Q713))</f>
        <v>1800000</v>
      </c>
      <c r="V713" s="266">
        <v>0</v>
      </c>
    </row>
    <row r="714" spans="1:22" ht="27.95" hidden="1" customHeight="1">
      <c r="A714" s="260"/>
      <c r="B714" s="269"/>
      <c r="C714" s="269"/>
      <c r="D714" s="260"/>
      <c r="E714" s="260"/>
      <c r="F714" s="260"/>
      <c r="G714" s="260"/>
      <c r="H714" s="268" t="s">
        <v>1492</v>
      </c>
      <c r="I714" s="238"/>
      <c r="J714" s="262">
        <v>24</v>
      </c>
      <c r="K714" s="263" t="s">
        <v>1493</v>
      </c>
      <c r="L714" s="264">
        <v>75000</v>
      </c>
      <c r="M714" s="265">
        <f>+J714*L714</f>
        <v>1800000</v>
      </c>
      <c r="N714" s="266">
        <v>24</v>
      </c>
      <c r="O714" s="261" t="s">
        <v>1494</v>
      </c>
      <c r="P714" s="266">
        <v>75000</v>
      </c>
      <c r="Q714" s="266">
        <f>+N714*P714</f>
        <v>1800000</v>
      </c>
      <c r="R714" s="267">
        <f t="shared" si="113"/>
        <v>1</v>
      </c>
      <c r="S714" s="266">
        <f>+IF(W714="DDS",Q714,0)</f>
        <v>0</v>
      </c>
      <c r="T714" s="266">
        <f>+IF(W714="ADD",Q714,0)</f>
        <v>0</v>
      </c>
      <c r="U714" s="266">
        <f>+IF(W714="DDS",0,IF(W714="ADD",0,Q714))</f>
        <v>1800000</v>
      </c>
      <c r="V714" s="266">
        <v>0</v>
      </c>
    </row>
    <row r="715" spans="1:22" ht="27.95" hidden="1" customHeight="1">
      <c r="A715" s="229">
        <v>3</v>
      </c>
      <c r="B715" s="270" t="s">
        <v>1002</v>
      </c>
      <c r="C715" s="270" t="s">
        <v>995</v>
      </c>
      <c r="D715" s="252" t="s">
        <v>363</v>
      </c>
      <c r="E715" s="252" t="s">
        <v>970</v>
      </c>
      <c r="F715" s="252" t="s">
        <v>970</v>
      </c>
      <c r="G715" s="252" t="s">
        <v>959</v>
      </c>
      <c r="H715" s="253" t="s">
        <v>135</v>
      </c>
      <c r="I715" s="238"/>
      <c r="J715" s="254"/>
      <c r="K715" s="255"/>
      <c r="L715" s="256"/>
      <c r="M715" s="257">
        <f>SUM(M717)</f>
        <v>4800000</v>
      </c>
      <c r="N715" s="266">
        <v>0</v>
      </c>
      <c r="O715" s="261"/>
      <c r="P715" s="266">
        <v>0</v>
      </c>
      <c r="Q715" s="257">
        <f>SUM(Q717)</f>
        <v>4800000</v>
      </c>
      <c r="R715" s="267" t="str">
        <f t="shared" si="113"/>
        <v/>
      </c>
      <c r="S715" s="257">
        <f>SUM(S717)</f>
        <v>0</v>
      </c>
      <c r="T715" s="257">
        <f>SUM(T717)</f>
        <v>0</v>
      </c>
      <c r="U715" s="257">
        <f>SUM(U717)</f>
        <v>4800000</v>
      </c>
      <c r="V715" s="257">
        <f>SUM(V717)</f>
        <v>0</v>
      </c>
    </row>
    <row r="716" spans="1:22" ht="27.95" hidden="1" customHeight="1">
      <c r="A716" s="229">
        <v>3</v>
      </c>
      <c r="B716" s="270" t="s">
        <v>1002</v>
      </c>
      <c r="C716" s="270" t="s">
        <v>995</v>
      </c>
      <c r="D716" s="252" t="s">
        <v>363</v>
      </c>
      <c r="E716" s="260" t="s">
        <v>970</v>
      </c>
      <c r="F716" s="260" t="s">
        <v>970</v>
      </c>
      <c r="G716" s="260" t="s">
        <v>1038</v>
      </c>
      <c r="H716" s="261" t="s">
        <v>512</v>
      </c>
      <c r="I716" s="238"/>
      <c r="J716" s="262"/>
      <c r="K716" s="263"/>
      <c r="L716" s="264"/>
      <c r="M716" s="265"/>
      <c r="N716" s="266"/>
      <c r="O716" s="261"/>
      <c r="P716" s="266"/>
      <c r="Q716" s="266"/>
      <c r="R716" s="267"/>
      <c r="S716" s="266"/>
      <c r="T716" s="266"/>
      <c r="U716" s="266"/>
      <c r="V716" s="266"/>
    </row>
    <row r="717" spans="1:22" ht="27.95" hidden="1" customHeight="1">
      <c r="A717" s="260"/>
      <c r="B717" s="269"/>
      <c r="C717" s="269"/>
      <c r="D717" s="260"/>
      <c r="E717" s="260"/>
      <c r="F717" s="260"/>
      <c r="G717" s="260"/>
      <c r="H717" s="268" t="s">
        <v>1495</v>
      </c>
      <c r="I717" s="238"/>
      <c r="J717" s="262">
        <v>24</v>
      </c>
      <c r="K717" s="263" t="s">
        <v>966</v>
      </c>
      <c r="L717" s="264">
        <v>200000</v>
      </c>
      <c r="M717" s="265">
        <f>+J717*L717</f>
        <v>4800000</v>
      </c>
      <c r="N717" s="266">
        <v>24</v>
      </c>
      <c r="O717" s="261" t="s">
        <v>966</v>
      </c>
      <c r="P717" s="266">
        <v>200000</v>
      </c>
      <c r="Q717" s="266">
        <f>+N717*P717</f>
        <v>4800000</v>
      </c>
      <c r="R717" s="267">
        <f t="shared" ref="R717:R773" si="115">IF(J717="","",Q717/M717)</f>
        <v>1</v>
      </c>
      <c r="S717" s="266">
        <f>+IF(W717="DDS",Q717,0)</f>
        <v>0</v>
      </c>
      <c r="T717" s="266">
        <f>+IF(W717="ADD",Q717,0)</f>
        <v>0</v>
      </c>
      <c r="U717" s="266">
        <f>+IF(W717="DDS",0,IF(W717="ADD",0,Q717))</f>
        <v>4800000</v>
      </c>
      <c r="V717" s="266">
        <v>0</v>
      </c>
    </row>
    <row r="718" spans="1:22" ht="27.95" customHeight="1">
      <c r="A718" s="229" t="s">
        <v>997</v>
      </c>
      <c r="B718" s="229" t="s">
        <v>1002</v>
      </c>
      <c r="C718" s="229" t="s">
        <v>1496</v>
      </c>
      <c r="D718" s="229"/>
      <c r="E718" s="229"/>
      <c r="F718" s="229"/>
      <c r="G718" s="229"/>
      <c r="H718" s="238" t="s">
        <v>1497</v>
      </c>
      <c r="I718" s="238" t="s">
        <v>1498</v>
      </c>
      <c r="J718" s="239"/>
      <c r="K718" s="240">
        <v>4</v>
      </c>
      <c r="L718" s="241" t="s">
        <v>1073</v>
      </c>
      <c r="M718" s="234">
        <f>+M719</f>
        <v>17980000</v>
      </c>
      <c r="N718" s="266">
        <v>0</v>
      </c>
      <c r="O718" s="240">
        <v>4</v>
      </c>
      <c r="P718" s="241" t="s">
        <v>1073</v>
      </c>
      <c r="Q718" s="234">
        <f>+Q719</f>
        <v>15725000</v>
      </c>
      <c r="R718" s="236">
        <f>Q718/M718*100%</f>
        <v>0.87458286985539491</v>
      </c>
      <c r="S718" s="234">
        <f>+S719</f>
        <v>0</v>
      </c>
      <c r="T718" s="234">
        <f>+T719</f>
        <v>0</v>
      </c>
      <c r="U718" s="234">
        <f>+U719</f>
        <v>15725000</v>
      </c>
      <c r="V718" s="234">
        <f>+V719</f>
        <v>0</v>
      </c>
    </row>
    <row r="719" spans="1:22" ht="27.95" hidden="1" customHeight="1">
      <c r="A719" s="260" t="s">
        <v>997</v>
      </c>
      <c r="B719" s="260" t="s">
        <v>1002</v>
      </c>
      <c r="C719" s="260" t="s">
        <v>1496</v>
      </c>
      <c r="D719" s="244" t="s">
        <v>363</v>
      </c>
      <c r="E719" s="244" t="s">
        <v>970</v>
      </c>
      <c r="F719" s="244" t="s">
        <v>959</v>
      </c>
      <c r="G719" s="244" t="s">
        <v>959</v>
      </c>
      <c r="H719" s="245" t="s">
        <v>1026</v>
      </c>
      <c r="I719" s="238"/>
      <c r="J719" s="246"/>
      <c r="K719" s="247"/>
      <c r="L719" s="248"/>
      <c r="M719" s="249">
        <f>+M720+M729</f>
        <v>17980000</v>
      </c>
      <c r="N719" s="266">
        <v>0</v>
      </c>
      <c r="O719" s="261"/>
      <c r="P719" s="266">
        <v>0</v>
      </c>
      <c r="Q719" s="249">
        <f>+Q720+Q729</f>
        <v>15725000</v>
      </c>
      <c r="R719" s="267" t="str">
        <f t="shared" si="115"/>
        <v/>
      </c>
      <c r="S719" s="249">
        <f>+S720+S729</f>
        <v>0</v>
      </c>
      <c r="T719" s="249">
        <f>+T720+T729</f>
        <v>0</v>
      </c>
      <c r="U719" s="249">
        <f>+U720+U729</f>
        <v>15725000</v>
      </c>
      <c r="V719" s="249">
        <f>+V720+V729</f>
        <v>0</v>
      </c>
    </row>
    <row r="720" spans="1:22" ht="27.95" hidden="1" customHeight="1">
      <c r="A720" s="229" t="s">
        <v>997</v>
      </c>
      <c r="B720" s="229" t="s">
        <v>1002</v>
      </c>
      <c r="C720" s="229" t="s">
        <v>1496</v>
      </c>
      <c r="D720" s="252" t="s">
        <v>363</v>
      </c>
      <c r="E720" s="252" t="s">
        <v>970</v>
      </c>
      <c r="F720" s="252" t="s">
        <v>362</v>
      </c>
      <c r="G720" s="252" t="s">
        <v>959</v>
      </c>
      <c r="H720" s="253" t="s">
        <v>134</v>
      </c>
      <c r="I720" s="238"/>
      <c r="J720" s="254"/>
      <c r="K720" s="255"/>
      <c r="L720" s="256"/>
      <c r="M720" s="257">
        <f>+SUM(M721:M728)</f>
        <v>5480000</v>
      </c>
      <c r="N720" s="266">
        <v>0</v>
      </c>
      <c r="O720" s="261"/>
      <c r="P720" s="266">
        <v>0</v>
      </c>
      <c r="Q720" s="257">
        <f>+SUM(Q721:Q728)</f>
        <v>3225000</v>
      </c>
      <c r="R720" s="267" t="str">
        <f t="shared" si="115"/>
        <v/>
      </c>
      <c r="S720" s="257">
        <f>+SUM(S721:S728)</f>
        <v>0</v>
      </c>
      <c r="T720" s="257">
        <f>+SUM(T721:T728)</f>
        <v>0</v>
      </c>
      <c r="U720" s="257">
        <f>+SUM(U721:U728)</f>
        <v>3225000</v>
      </c>
      <c r="V720" s="257">
        <f>+SUM(V721:V728)</f>
        <v>0</v>
      </c>
    </row>
    <row r="721" spans="1:22" ht="27.95" hidden="1" customHeight="1">
      <c r="A721" s="260" t="s">
        <v>997</v>
      </c>
      <c r="B721" s="260" t="s">
        <v>1002</v>
      </c>
      <c r="C721" s="260" t="s">
        <v>1496</v>
      </c>
      <c r="D721" s="260" t="s">
        <v>363</v>
      </c>
      <c r="E721" s="260" t="s">
        <v>970</v>
      </c>
      <c r="F721" s="260" t="s">
        <v>362</v>
      </c>
      <c r="G721" s="260" t="s">
        <v>960</v>
      </c>
      <c r="H721" s="261" t="s">
        <v>1027</v>
      </c>
      <c r="I721" s="238"/>
      <c r="J721" s="262">
        <v>1</v>
      </c>
      <c r="K721" s="263" t="s">
        <v>1029</v>
      </c>
      <c r="L721" s="264">
        <v>110000</v>
      </c>
      <c r="M721" s="265">
        <f>+J721*L721</f>
        <v>110000</v>
      </c>
      <c r="N721" s="266">
        <v>1</v>
      </c>
      <c r="O721" s="261" t="s">
        <v>1029</v>
      </c>
      <c r="P721" s="266">
        <v>100000</v>
      </c>
      <c r="Q721" s="266">
        <f t="shared" ref="Q721:Q732" si="116">+N721*P721</f>
        <v>100000</v>
      </c>
      <c r="R721" s="267">
        <f t="shared" si="115"/>
        <v>0.90909090909090906</v>
      </c>
      <c r="S721" s="266">
        <f t="shared" ref="S721:S732" si="117">+IF(W721="DDS",Q721,0)</f>
        <v>0</v>
      </c>
      <c r="T721" s="266">
        <f t="shared" ref="T721:T732" si="118">+IF(W721="ADD",Q721,0)</f>
        <v>0</v>
      </c>
      <c r="U721" s="266">
        <f t="shared" ref="U721:U732" si="119">+IF(W721="DDS",0,IF(W721="ADD",0,Q721))</f>
        <v>100000</v>
      </c>
      <c r="V721" s="266">
        <v>0</v>
      </c>
    </row>
    <row r="722" spans="1:22" ht="27.95" hidden="1" customHeight="1">
      <c r="A722" s="260" t="s">
        <v>997</v>
      </c>
      <c r="B722" s="260" t="s">
        <v>1002</v>
      </c>
      <c r="C722" s="260" t="s">
        <v>1496</v>
      </c>
      <c r="D722" s="260" t="s">
        <v>363</v>
      </c>
      <c r="E722" s="260" t="s">
        <v>970</v>
      </c>
      <c r="F722" s="260" t="s">
        <v>362</v>
      </c>
      <c r="G722" s="260" t="s">
        <v>1038</v>
      </c>
      <c r="H722" s="261" t="s">
        <v>1090</v>
      </c>
      <c r="I722" s="238"/>
      <c r="J722" s="262">
        <v>1</v>
      </c>
      <c r="K722" s="263" t="s">
        <v>1029</v>
      </c>
      <c r="L722" s="264">
        <v>100000</v>
      </c>
      <c r="M722" s="265">
        <f>+J722*L722</f>
        <v>100000</v>
      </c>
      <c r="N722" s="266">
        <v>1</v>
      </c>
      <c r="O722" s="261" t="s">
        <v>1029</v>
      </c>
      <c r="P722" s="266">
        <v>100000</v>
      </c>
      <c r="Q722" s="266">
        <f t="shared" si="116"/>
        <v>100000</v>
      </c>
      <c r="R722" s="267">
        <f t="shared" si="115"/>
        <v>1</v>
      </c>
      <c r="S722" s="266">
        <f t="shared" si="117"/>
        <v>0</v>
      </c>
      <c r="T722" s="266">
        <f t="shared" si="118"/>
        <v>0</v>
      </c>
      <c r="U722" s="266">
        <f t="shared" si="119"/>
        <v>100000</v>
      </c>
      <c r="V722" s="266">
        <v>0</v>
      </c>
    </row>
    <row r="723" spans="1:22" ht="27.95" hidden="1" customHeight="1">
      <c r="A723" s="260" t="s">
        <v>997</v>
      </c>
      <c r="B723" s="260" t="s">
        <v>1002</v>
      </c>
      <c r="C723" s="260" t="s">
        <v>1496</v>
      </c>
      <c r="D723" s="260" t="s">
        <v>363</v>
      </c>
      <c r="E723" s="260" t="s">
        <v>970</v>
      </c>
      <c r="F723" s="260" t="s">
        <v>362</v>
      </c>
      <c r="G723" s="260" t="s">
        <v>1040</v>
      </c>
      <c r="H723" s="261" t="s">
        <v>252</v>
      </c>
      <c r="I723" s="238"/>
      <c r="J723" s="262"/>
      <c r="K723" s="263"/>
      <c r="L723" s="264"/>
      <c r="M723" s="265"/>
      <c r="N723" s="266">
        <v>0</v>
      </c>
      <c r="O723" s="261"/>
      <c r="P723" s="266">
        <v>0</v>
      </c>
      <c r="Q723" s="266">
        <f t="shared" si="116"/>
        <v>0</v>
      </c>
      <c r="R723" s="267" t="str">
        <f t="shared" si="115"/>
        <v/>
      </c>
      <c r="S723" s="266">
        <f t="shared" si="117"/>
        <v>0</v>
      </c>
      <c r="T723" s="266">
        <f t="shared" si="118"/>
        <v>0</v>
      </c>
      <c r="U723" s="266">
        <f t="shared" si="119"/>
        <v>0</v>
      </c>
      <c r="V723" s="266">
        <v>0</v>
      </c>
    </row>
    <row r="724" spans="1:22" ht="27.95" hidden="1" customHeight="1">
      <c r="A724" s="260"/>
      <c r="B724" s="260"/>
      <c r="C724" s="260"/>
      <c r="D724" s="260"/>
      <c r="E724" s="260"/>
      <c r="F724" s="260"/>
      <c r="G724" s="260"/>
      <c r="H724" s="268" t="s">
        <v>1499</v>
      </c>
      <c r="I724" s="238"/>
      <c r="J724" s="262">
        <v>210</v>
      </c>
      <c r="K724" s="263" t="s">
        <v>1042</v>
      </c>
      <c r="L724" s="264">
        <v>10000</v>
      </c>
      <c r="M724" s="265">
        <f>+J724*L724</f>
        <v>2100000</v>
      </c>
      <c r="N724" s="266">
        <v>45</v>
      </c>
      <c r="O724" s="261" t="s">
        <v>1042</v>
      </c>
      <c r="P724" s="266">
        <v>35000</v>
      </c>
      <c r="Q724" s="266">
        <f t="shared" si="116"/>
        <v>1575000</v>
      </c>
      <c r="R724" s="267">
        <f t="shared" si="115"/>
        <v>0.75</v>
      </c>
      <c r="S724" s="266">
        <f t="shared" si="117"/>
        <v>0</v>
      </c>
      <c r="T724" s="266">
        <f t="shared" si="118"/>
        <v>0</v>
      </c>
      <c r="U724" s="266">
        <f t="shared" si="119"/>
        <v>1575000</v>
      </c>
      <c r="V724" s="266">
        <v>0</v>
      </c>
    </row>
    <row r="725" spans="1:22" ht="27.95" hidden="1" customHeight="1">
      <c r="A725" s="260"/>
      <c r="B725" s="260"/>
      <c r="C725" s="260"/>
      <c r="D725" s="260"/>
      <c r="E725" s="260"/>
      <c r="F725" s="260"/>
      <c r="G725" s="260"/>
      <c r="H725" s="268" t="s">
        <v>1500</v>
      </c>
      <c r="I725" s="238"/>
      <c r="J725" s="262">
        <v>60</v>
      </c>
      <c r="K725" s="263" t="s">
        <v>1042</v>
      </c>
      <c r="L725" s="264">
        <v>10000</v>
      </c>
      <c r="M725" s="265">
        <f>+J725*L725</f>
        <v>600000</v>
      </c>
      <c r="N725" s="266">
        <v>40</v>
      </c>
      <c r="O725" s="261" t="s">
        <v>1042</v>
      </c>
      <c r="P725" s="266">
        <v>10000</v>
      </c>
      <c r="Q725" s="266">
        <f t="shared" si="116"/>
        <v>400000</v>
      </c>
      <c r="R725" s="267">
        <f t="shared" si="115"/>
        <v>0.66666666666666663</v>
      </c>
      <c r="S725" s="266">
        <f t="shared" si="117"/>
        <v>0</v>
      </c>
      <c r="T725" s="266">
        <f t="shared" si="118"/>
        <v>0</v>
      </c>
      <c r="U725" s="266">
        <f t="shared" si="119"/>
        <v>400000</v>
      </c>
      <c r="V725" s="266">
        <v>0</v>
      </c>
    </row>
    <row r="726" spans="1:22" ht="27.95" hidden="1" customHeight="1">
      <c r="A726" s="260"/>
      <c r="B726" s="260"/>
      <c r="C726" s="260"/>
      <c r="D726" s="260"/>
      <c r="E726" s="260"/>
      <c r="F726" s="260"/>
      <c r="G726" s="260"/>
      <c r="H726" s="268" t="s">
        <v>1501</v>
      </c>
      <c r="I726" s="238"/>
      <c r="J726" s="262">
        <v>12</v>
      </c>
      <c r="K726" s="263" t="s">
        <v>1042</v>
      </c>
      <c r="L726" s="264">
        <v>10000</v>
      </c>
      <c r="M726" s="265">
        <f>+J726*L726</f>
        <v>120000</v>
      </c>
      <c r="N726" s="266">
        <v>0</v>
      </c>
      <c r="O726" s="261"/>
      <c r="P726" s="266">
        <v>0</v>
      </c>
      <c r="Q726" s="266">
        <f t="shared" si="116"/>
        <v>0</v>
      </c>
      <c r="R726" s="267">
        <f t="shared" si="115"/>
        <v>0</v>
      </c>
      <c r="S726" s="266">
        <f t="shared" si="117"/>
        <v>0</v>
      </c>
      <c r="T726" s="266">
        <f t="shared" si="118"/>
        <v>0</v>
      </c>
      <c r="U726" s="266">
        <f t="shared" si="119"/>
        <v>0</v>
      </c>
      <c r="V726" s="266">
        <v>0</v>
      </c>
    </row>
    <row r="727" spans="1:22" ht="27.95" hidden="1" customHeight="1">
      <c r="A727" s="260"/>
      <c r="B727" s="260"/>
      <c r="C727" s="260"/>
      <c r="D727" s="260"/>
      <c r="E727" s="260"/>
      <c r="F727" s="260"/>
      <c r="G727" s="260"/>
      <c r="H727" s="268" t="s">
        <v>1502</v>
      </c>
      <c r="I727" s="238"/>
      <c r="J727" s="262">
        <v>30</v>
      </c>
      <c r="K727" s="263" t="s">
        <v>1042</v>
      </c>
      <c r="L727" s="264">
        <v>35000</v>
      </c>
      <c r="M727" s="265">
        <f>+J727*L727</f>
        <v>1050000</v>
      </c>
      <c r="N727" s="262">
        <v>30</v>
      </c>
      <c r="O727" s="263" t="s">
        <v>1042</v>
      </c>
      <c r="P727" s="264">
        <v>35000</v>
      </c>
      <c r="Q727" s="266">
        <f t="shared" si="116"/>
        <v>1050000</v>
      </c>
      <c r="R727" s="267">
        <f t="shared" si="115"/>
        <v>1</v>
      </c>
      <c r="S727" s="266">
        <f t="shared" si="117"/>
        <v>0</v>
      </c>
      <c r="T727" s="266">
        <f t="shared" si="118"/>
        <v>0</v>
      </c>
      <c r="U727" s="266">
        <f t="shared" si="119"/>
        <v>1050000</v>
      </c>
      <c r="V727" s="266">
        <v>0</v>
      </c>
    </row>
    <row r="728" spans="1:22" ht="27.95" hidden="1" customHeight="1">
      <c r="A728" s="260"/>
      <c r="B728" s="260"/>
      <c r="C728" s="260"/>
      <c r="D728" s="260"/>
      <c r="E728" s="260"/>
      <c r="F728" s="260"/>
      <c r="G728" s="260"/>
      <c r="H728" s="268" t="s">
        <v>1503</v>
      </c>
      <c r="I728" s="230"/>
      <c r="J728" s="262">
        <v>40</v>
      </c>
      <c r="K728" s="263" t="s">
        <v>1042</v>
      </c>
      <c r="L728" s="264">
        <v>35000</v>
      </c>
      <c r="M728" s="265">
        <f>+J728*L728</f>
        <v>1400000</v>
      </c>
      <c r="N728" s="266">
        <v>0</v>
      </c>
      <c r="O728" s="261"/>
      <c r="P728" s="266">
        <v>0</v>
      </c>
      <c r="Q728" s="266">
        <f t="shared" si="116"/>
        <v>0</v>
      </c>
      <c r="R728" s="267">
        <f t="shared" si="115"/>
        <v>0</v>
      </c>
      <c r="S728" s="266">
        <f t="shared" si="117"/>
        <v>0</v>
      </c>
      <c r="T728" s="266">
        <f t="shared" si="118"/>
        <v>0</v>
      </c>
      <c r="U728" s="266">
        <f t="shared" si="119"/>
        <v>0</v>
      </c>
      <c r="V728" s="266">
        <v>0</v>
      </c>
    </row>
    <row r="729" spans="1:22" ht="27.95" hidden="1" customHeight="1">
      <c r="A729" s="260" t="s">
        <v>997</v>
      </c>
      <c r="B729" s="260" t="s">
        <v>1002</v>
      </c>
      <c r="C729" s="260" t="s">
        <v>1496</v>
      </c>
      <c r="D729" s="252" t="s">
        <v>363</v>
      </c>
      <c r="E729" s="252" t="s">
        <v>970</v>
      </c>
      <c r="F729" s="252" t="s">
        <v>970</v>
      </c>
      <c r="G729" s="252" t="s">
        <v>959</v>
      </c>
      <c r="H729" s="253" t="s">
        <v>135</v>
      </c>
      <c r="I729" s="230"/>
      <c r="J729" s="254"/>
      <c r="K729" s="255"/>
      <c r="L729" s="256"/>
      <c r="M729" s="257">
        <f>SUM(M730:M732)</f>
        <v>12500000</v>
      </c>
      <c r="N729" s="266">
        <v>0</v>
      </c>
      <c r="O729" s="261"/>
      <c r="P729" s="266">
        <v>0</v>
      </c>
      <c r="Q729" s="257">
        <f>SUM(Q730:Q732)</f>
        <v>12500000</v>
      </c>
      <c r="R729" s="267" t="str">
        <f t="shared" si="115"/>
        <v/>
      </c>
      <c r="S729" s="266">
        <f t="shared" si="117"/>
        <v>0</v>
      </c>
      <c r="T729" s="266">
        <f t="shared" si="118"/>
        <v>0</v>
      </c>
      <c r="U729" s="266">
        <f t="shared" si="119"/>
        <v>12500000</v>
      </c>
      <c r="V729" s="266">
        <v>0</v>
      </c>
    </row>
    <row r="730" spans="1:22" ht="27.95" hidden="1" customHeight="1">
      <c r="A730" s="260" t="s">
        <v>997</v>
      </c>
      <c r="B730" s="260" t="s">
        <v>1002</v>
      </c>
      <c r="C730" s="260" t="s">
        <v>1496</v>
      </c>
      <c r="D730" s="260" t="s">
        <v>363</v>
      </c>
      <c r="E730" s="260" t="s">
        <v>970</v>
      </c>
      <c r="F730" s="260" t="s">
        <v>970</v>
      </c>
      <c r="G730" s="260" t="s">
        <v>1002</v>
      </c>
      <c r="H730" s="261" t="s">
        <v>1374</v>
      </c>
      <c r="I730" s="230"/>
      <c r="J730" s="262">
        <v>2</v>
      </c>
      <c r="K730" s="263" t="s">
        <v>1199</v>
      </c>
      <c r="L730" s="264">
        <v>100000</v>
      </c>
      <c r="M730" s="265">
        <f>+J730*L730</f>
        <v>200000</v>
      </c>
      <c r="N730" s="262">
        <v>2</v>
      </c>
      <c r="O730" s="263" t="s">
        <v>1199</v>
      </c>
      <c r="P730" s="264">
        <v>100000</v>
      </c>
      <c r="Q730" s="266">
        <f t="shared" si="116"/>
        <v>200000</v>
      </c>
      <c r="R730" s="267">
        <f t="shared" si="115"/>
        <v>1</v>
      </c>
      <c r="S730" s="266">
        <f t="shared" si="117"/>
        <v>0</v>
      </c>
      <c r="T730" s="266">
        <f t="shared" si="118"/>
        <v>0</v>
      </c>
      <c r="U730" s="266">
        <f t="shared" si="119"/>
        <v>200000</v>
      </c>
      <c r="V730" s="266">
        <v>0</v>
      </c>
    </row>
    <row r="731" spans="1:22" ht="27.95" hidden="1" customHeight="1">
      <c r="A731" s="260" t="s">
        <v>997</v>
      </c>
      <c r="B731" s="260" t="s">
        <v>1002</v>
      </c>
      <c r="C731" s="260" t="s">
        <v>1496</v>
      </c>
      <c r="D731" s="260" t="s">
        <v>363</v>
      </c>
      <c r="E731" s="260" t="s">
        <v>970</v>
      </c>
      <c r="F731" s="260" t="s">
        <v>970</v>
      </c>
      <c r="G731" s="269" t="s">
        <v>960</v>
      </c>
      <c r="H731" s="261" t="s">
        <v>1279</v>
      </c>
      <c r="I731" s="230"/>
      <c r="J731" s="262"/>
      <c r="K731" s="263"/>
      <c r="L731" s="264"/>
      <c r="M731" s="265"/>
      <c r="N731" s="266">
        <v>0</v>
      </c>
      <c r="O731" s="261"/>
      <c r="P731" s="266">
        <v>0</v>
      </c>
      <c r="Q731" s="266">
        <f t="shared" si="116"/>
        <v>0</v>
      </c>
      <c r="R731" s="267" t="str">
        <f t="shared" si="115"/>
        <v/>
      </c>
      <c r="S731" s="266">
        <f t="shared" si="117"/>
        <v>0</v>
      </c>
      <c r="T731" s="266">
        <f t="shared" si="118"/>
        <v>0</v>
      </c>
      <c r="U731" s="266">
        <f t="shared" si="119"/>
        <v>0</v>
      </c>
      <c r="V731" s="266">
        <v>0</v>
      </c>
    </row>
    <row r="732" spans="1:22" ht="27.95" hidden="1" customHeight="1">
      <c r="A732" s="260"/>
      <c r="B732" s="260"/>
      <c r="C732" s="260"/>
      <c r="D732" s="260"/>
      <c r="E732" s="260"/>
      <c r="F732" s="260"/>
      <c r="G732" s="260"/>
      <c r="H732" s="268" t="s">
        <v>1504</v>
      </c>
      <c r="I732" s="230"/>
      <c r="J732" s="262">
        <v>4</v>
      </c>
      <c r="K732" s="263" t="s">
        <v>966</v>
      </c>
      <c r="L732" s="264">
        <v>3075000</v>
      </c>
      <c r="M732" s="265">
        <f>+J732*L732</f>
        <v>12300000</v>
      </c>
      <c r="N732" s="262">
        <v>4</v>
      </c>
      <c r="O732" s="263" t="s">
        <v>966</v>
      </c>
      <c r="P732" s="264">
        <v>3075000</v>
      </c>
      <c r="Q732" s="266">
        <f t="shared" si="116"/>
        <v>12300000</v>
      </c>
      <c r="R732" s="267">
        <f t="shared" si="115"/>
        <v>1</v>
      </c>
      <c r="S732" s="266">
        <f t="shared" si="117"/>
        <v>0</v>
      </c>
      <c r="T732" s="266">
        <f t="shared" si="118"/>
        <v>0</v>
      </c>
      <c r="U732" s="266">
        <f t="shared" si="119"/>
        <v>12300000</v>
      </c>
      <c r="V732" s="266">
        <v>0</v>
      </c>
    </row>
    <row r="733" spans="1:22" ht="27.95" customHeight="1">
      <c r="A733" s="229" t="s">
        <v>997</v>
      </c>
      <c r="B733" s="229" t="s">
        <v>1002</v>
      </c>
      <c r="C733" s="229">
        <v>94</v>
      </c>
      <c r="D733" s="229"/>
      <c r="E733" s="229"/>
      <c r="F733" s="229"/>
      <c r="G733" s="229" t="s">
        <v>959</v>
      </c>
      <c r="H733" s="238" t="s">
        <v>368</v>
      </c>
      <c r="I733" s="230"/>
      <c r="J733" s="262"/>
      <c r="K733" s="240">
        <v>1</v>
      </c>
      <c r="L733" s="241" t="s">
        <v>386</v>
      </c>
      <c r="M733" s="234">
        <f>+M734</f>
        <v>26140000</v>
      </c>
      <c r="N733" s="262"/>
      <c r="O733" s="240">
        <v>1</v>
      </c>
      <c r="P733" s="241" t="s">
        <v>386</v>
      </c>
      <c r="Q733" s="234">
        <f t="shared" ref="Q733:V733" si="120">+Q734</f>
        <v>25630000</v>
      </c>
      <c r="R733" s="236">
        <f>Q733/M733*100%</f>
        <v>0.98048967100229534</v>
      </c>
      <c r="S733" s="234">
        <f t="shared" si="120"/>
        <v>0</v>
      </c>
      <c r="T733" s="234">
        <f t="shared" si="120"/>
        <v>0</v>
      </c>
      <c r="U733" s="234">
        <f t="shared" si="120"/>
        <v>25630000</v>
      </c>
      <c r="V733" s="234">
        <f t="shared" si="120"/>
        <v>0</v>
      </c>
    </row>
    <row r="734" spans="1:22" ht="27.95" hidden="1" customHeight="1">
      <c r="A734" s="229" t="s">
        <v>997</v>
      </c>
      <c r="B734" s="229" t="s">
        <v>1002</v>
      </c>
      <c r="C734" s="229">
        <v>94</v>
      </c>
      <c r="D734" s="244" t="s">
        <v>363</v>
      </c>
      <c r="E734" s="244" t="s">
        <v>970</v>
      </c>
      <c r="F734" s="244" t="s">
        <v>959</v>
      </c>
      <c r="G734" s="244" t="s">
        <v>959</v>
      </c>
      <c r="H734" s="245" t="s">
        <v>1026</v>
      </c>
      <c r="I734" s="230"/>
      <c r="J734" s="262"/>
      <c r="K734" s="263"/>
      <c r="L734" s="264"/>
      <c r="M734" s="249">
        <f>+M735+M746+M753</f>
        <v>26140000</v>
      </c>
      <c r="N734" s="262"/>
      <c r="O734" s="263"/>
      <c r="P734" s="264"/>
      <c r="Q734" s="249">
        <f>+Q735+Q746+Q753</f>
        <v>25630000</v>
      </c>
      <c r="R734" s="249"/>
      <c r="S734" s="249">
        <f>+S735+S746+S753</f>
        <v>0</v>
      </c>
      <c r="T734" s="249">
        <f>+T735+T746+T753</f>
        <v>0</v>
      </c>
      <c r="U734" s="249">
        <f>+U735+U746+U753</f>
        <v>25630000</v>
      </c>
      <c r="V734" s="249">
        <f>+V735+V746+V753</f>
        <v>0</v>
      </c>
    </row>
    <row r="735" spans="1:22" ht="27.95" hidden="1" customHeight="1">
      <c r="A735" s="229" t="s">
        <v>997</v>
      </c>
      <c r="B735" s="229" t="s">
        <v>1002</v>
      </c>
      <c r="C735" s="229">
        <v>94</v>
      </c>
      <c r="D735" s="252" t="s">
        <v>363</v>
      </c>
      <c r="E735" s="252" t="s">
        <v>970</v>
      </c>
      <c r="F735" s="252" t="s">
        <v>362</v>
      </c>
      <c r="G735" s="252" t="s">
        <v>959</v>
      </c>
      <c r="H735" s="253" t="s">
        <v>134</v>
      </c>
      <c r="I735" s="230"/>
      <c r="J735" s="262"/>
      <c r="K735" s="263"/>
      <c r="L735" s="264"/>
      <c r="M735" s="257">
        <f>+SUM(M736:M745)</f>
        <v>6640000</v>
      </c>
      <c r="N735" s="262"/>
      <c r="O735" s="263"/>
      <c r="P735" s="264"/>
      <c r="Q735" s="257">
        <f>+SUM(Q736:Q745)</f>
        <v>6330000</v>
      </c>
      <c r="R735" s="257"/>
      <c r="S735" s="257">
        <f>+SUM(S736:S745)</f>
        <v>0</v>
      </c>
      <c r="T735" s="257">
        <f>+SUM(T736:T745)</f>
        <v>0</v>
      </c>
      <c r="U735" s="257">
        <f>+SUM(U736:U745)</f>
        <v>6330000</v>
      </c>
      <c r="V735" s="257">
        <f>+SUM(V736:V745)</f>
        <v>0</v>
      </c>
    </row>
    <row r="736" spans="1:22" ht="27.95" hidden="1" customHeight="1">
      <c r="A736" s="229" t="s">
        <v>997</v>
      </c>
      <c r="B736" s="229" t="s">
        <v>1002</v>
      </c>
      <c r="C736" s="229">
        <v>94</v>
      </c>
      <c r="D736" s="260" t="s">
        <v>363</v>
      </c>
      <c r="E736" s="260" t="s">
        <v>970</v>
      </c>
      <c r="F736" s="260" t="s">
        <v>362</v>
      </c>
      <c r="G736" s="260" t="s">
        <v>960</v>
      </c>
      <c r="H736" s="261" t="s">
        <v>1027</v>
      </c>
      <c r="I736" s="230"/>
      <c r="J736" s="262"/>
      <c r="K736" s="263"/>
      <c r="L736" s="264"/>
      <c r="M736" s="265"/>
      <c r="N736" s="262"/>
      <c r="O736" s="263"/>
      <c r="P736" s="264"/>
      <c r="Q736" s="266"/>
      <c r="R736" s="267"/>
      <c r="S736" s="266"/>
      <c r="T736" s="266"/>
      <c r="U736" s="266"/>
      <c r="V736" s="266"/>
    </row>
    <row r="737" spans="1:22" ht="27.95" hidden="1" customHeight="1">
      <c r="A737" s="260"/>
      <c r="B737" s="260"/>
      <c r="C737" s="260"/>
      <c r="D737" s="260"/>
      <c r="E737" s="260"/>
      <c r="F737" s="260"/>
      <c r="G737" s="260"/>
      <c r="H737" s="268" t="s">
        <v>1153</v>
      </c>
      <c r="I737" s="230"/>
      <c r="J737" s="262">
        <v>10</v>
      </c>
      <c r="K737" s="263" t="s">
        <v>1046</v>
      </c>
      <c r="L737" s="264">
        <v>12000</v>
      </c>
      <c r="M737" s="265">
        <f>+J737*L737</f>
        <v>120000</v>
      </c>
      <c r="N737" s="262">
        <v>10</v>
      </c>
      <c r="O737" s="263" t="s">
        <v>1046</v>
      </c>
      <c r="P737" s="264">
        <v>11000</v>
      </c>
      <c r="Q737" s="265">
        <f>+N737*P737</f>
        <v>110000</v>
      </c>
      <c r="R737" s="267">
        <f>IF(J737="","",Q737/M737)</f>
        <v>0.91666666666666663</v>
      </c>
      <c r="S737" s="266">
        <f>+IF(W737="DDS",Q737,0)</f>
        <v>0</v>
      </c>
      <c r="T737" s="266">
        <f>+IF(W737="ADD",Q737,0)</f>
        <v>0</v>
      </c>
      <c r="U737" s="266">
        <f>+IF(W737="DDS",0,IF(W737="ADD",0,Q737))</f>
        <v>110000</v>
      </c>
      <c r="V737" s="266">
        <v>0</v>
      </c>
    </row>
    <row r="738" spans="1:22" ht="27.95" hidden="1" customHeight="1">
      <c r="A738" s="229" t="s">
        <v>997</v>
      </c>
      <c r="B738" s="229" t="s">
        <v>1002</v>
      </c>
      <c r="C738" s="229">
        <v>94</v>
      </c>
      <c r="D738" s="260" t="s">
        <v>363</v>
      </c>
      <c r="E738" s="260" t="s">
        <v>970</v>
      </c>
      <c r="F738" s="260" t="s">
        <v>362</v>
      </c>
      <c r="G738" s="260" t="s">
        <v>1038</v>
      </c>
      <c r="H738" s="261" t="s">
        <v>1090</v>
      </c>
      <c r="I738" s="230"/>
      <c r="J738" s="262">
        <v>1</v>
      </c>
      <c r="K738" s="263" t="s">
        <v>1029</v>
      </c>
      <c r="L738" s="264">
        <v>150000</v>
      </c>
      <c r="M738" s="265">
        <f>+J738*L738</f>
        <v>150000</v>
      </c>
      <c r="N738" s="262">
        <v>1</v>
      </c>
      <c r="O738" s="263" t="s">
        <v>1029</v>
      </c>
      <c r="P738" s="264">
        <v>150000</v>
      </c>
      <c r="Q738" s="265">
        <f>+N738*P738</f>
        <v>150000</v>
      </c>
      <c r="R738" s="267">
        <f>IF(J738="","",Q738/M738)</f>
        <v>1</v>
      </c>
      <c r="S738" s="266">
        <f>+IF(W738="DDS",Q738,0)</f>
        <v>0</v>
      </c>
      <c r="T738" s="266">
        <f>+IF(W738="ADD",Q738,0)</f>
        <v>0</v>
      </c>
      <c r="U738" s="266">
        <f>+IF(W738="DDS",0,IF(W738="ADD",0,Q738))</f>
        <v>150000</v>
      </c>
      <c r="V738" s="266">
        <v>0</v>
      </c>
    </row>
    <row r="739" spans="1:22" ht="27.95" hidden="1" customHeight="1">
      <c r="A739" s="229" t="s">
        <v>997</v>
      </c>
      <c r="B739" s="229" t="s">
        <v>1002</v>
      </c>
      <c r="C739" s="229">
        <v>94</v>
      </c>
      <c r="D739" s="260" t="s">
        <v>363</v>
      </c>
      <c r="E739" s="260" t="s">
        <v>970</v>
      </c>
      <c r="F739" s="260" t="s">
        <v>362</v>
      </c>
      <c r="G739" s="260" t="s">
        <v>1040</v>
      </c>
      <c r="H739" s="261" t="s">
        <v>252</v>
      </c>
      <c r="I739" s="230"/>
      <c r="J739" s="262"/>
      <c r="K739" s="263"/>
      <c r="L739" s="264"/>
      <c r="M739" s="265"/>
      <c r="N739" s="262"/>
      <c r="O739" s="263"/>
      <c r="P739" s="264"/>
      <c r="Q739" s="266"/>
      <c r="R739" s="267"/>
      <c r="S739" s="266"/>
      <c r="T739" s="266"/>
      <c r="U739" s="266"/>
      <c r="V739" s="266"/>
    </row>
    <row r="740" spans="1:22" ht="27.95" hidden="1" customHeight="1">
      <c r="A740" s="260"/>
      <c r="B740" s="260"/>
      <c r="C740" s="260"/>
      <c r="D740" s="260"/>
      <c r="E740" s="260"/>
      <c r="F740" s="260"/>
      <c r="G740" s="260"/>
      <c r="H740" s="268" t="s">
        <v>1092</v>
      </c>
      <c r="I740" s="230"/>
      <c r="J740" s="262">
        <v>162</v>
      </c>
      <c r="K740" s="263" t="s">
        <v>1042</v>
      </c>
      <c r="L740" s="264">
        <v>35000</v>
      </c>
      <c r="M740" s="265">
        <f>+J740*L740</f>
        <v>5670000</v>
      </c>
      <c r="N740" s="262">
        <v>162</v>
      </c>
      <c r="O740" s="263" t="s">
        <v>1042</v>
      </c>
      <c r="P740" s="264">
        <v>35000</v>
      </c>
      <c r="Q740" s="265">
        <f>+N740*P740</f>
        <v>5670000</v>
      </c>
      <c r="R740" s="267">
        <f>IF(J740="","",Q740/M740)</f>
        <v>1</v>
      </c>
      <c r="S740" s="266">
        <f>+IF(W740="DDS",Q740,0)</f>
        <v>0</v>
      </c>
      <c r="T740" s="266">
        <f>+IF(W740="ADD",Q740,0)</f>
        <v>0</v>
      </c>
      <c r="U740" s="266">
        <f>+IF(W740="DDS",0,IF(W740="ADD",0,Q740))</f>
        <v>5670000</v>
      </c>
      <c r="V740" s="266">
        <v>0</v>
      </c>
    </row>
    <row r="741" spans="1:22" ht="27.95" hidden="1" customHeight="1">
      <c r="A741" s="229" t="s">
        <v>997</v>
      </c>
      <c r="B741" s="229" t="s">
        <v>1002</v>
      </c>
      <c r="C741" s="229">
        <v>94</v>
      </c>
      <c r="D741" s="260">
        <v>5</v>
      </c>
      <c r="E741" s="260">
        <v>2</v>
      </c>
      <c r="F741" s="260">
        <v>1</v>
      </c>
      <c r="G741" s="260">
        <v>10</v>
      </c>
      <c r="H741" s="268" t="s">
        <v>1505</v>
      </c>
      <c r="I741" s="230"/>
      <c r="J741" s="262"/>
      <c r="K741" s="263"/>
      <c r="L741" s="264"/>
      <c r="M741" s="265"/>
      <c r="N741" s="262"/>
      <c r="O741" s="263"/>
      <c r="P741" s="264"/>
      <c r="Q741" s="266"/>
      <c r="R741" s="267"/>
      <c r="S741" s="266"/>
      <c r="T741" s="266"/>
      <c r="U741" s="266"/>
      <c r="V741" s="266"/>
    </row>
    <row r="742" spans="1:22" ht="27.95" hidden="1" customHeight="1">
      <c r="A742" s="260"/>
      <c r="B742" s="260"/>
      <c r="C742" s="260"/>
      <c r="D742" s="260"/>
      <c r="E742" s="260"/>
      <c r="F742" s="260"/>
      <c r="G742" s="260"/>
      <c r="H742" s="268" t="s">
        <v>1506</v>
      </c>
      <c r="I742" s="230"/>
      <c r="J742" s="262">
        <v>2</v>
      </c>
      <c r="K742" s="263" t="s">
        <v>1507</v>
      </c>
      <c r="L742" s="264">
        <v>150000</v>
      </c>
      <c r="M742" s="265">
        <f>+J742*L742</f>
        <v>300000</v>
      </c>
      <c r="N742" s="266">
        <v>0</v>
      </c>
      <c r="O742" s="261"/>
      <c r="P742" s="266">
        <v>0</v>
      </c>
      <c r="Q742" s="266">
        <f>+N742*P742</f>
        <v>0</v>
      </c>
      <c r="R742" s="267">
        <f>IF(J742="","",Q742/M742)</f>
        <v>0</v>
      </c>
      <c r="S742" s="266">
        <f>+IF(W742="DDS",Q742,0)</f>
        <v>0</v>
      </c>
      <c r="T742" s="266">
        <f>+IF(W742="ADD",Q742,0)</f>
        <v>0</v>
      </c>
      <c r="U742" s="266">
        <f>+IF(W742="DDS",0,IF(W742="ADD",0,Q742))</f>
        <v>0</v>
      </c>
      <c r="V742" s="266">
        <v>0</v>
      </c>
    </row>
    <row r="743" spans="1:22" ht="27.95" hidden="1" customHeight="1">
      <c r="A743" s="229" t="s">
        <v>997</v>
      </c>
      <c r="B743" s="229" t="s">
        <v>1002</v>
      </c>
      <c r="C743" s="229">
        <v>94</v>
      </c>
      <c r="D743" s="260">
        <v>5</v>
      </c>
      <c r="E743" s="260">
        <v>2</v>
      </c>
      <c r="F743" s="260">
        <v>1</v>
      </c>
      <c r="G743" s="260">
        <v>99</v>
      </c>
      <c r="H743" s="268" t="s">
        <v>258</v>
      </c>
      <c r="I743" s="230"/>
      <c r="J743" s="262"/>
      <c r="K743" s="263"/>
      <c r="L743" s="264"/>
      <c r="M743" s="265"/>
      <c r="N743" s="262"/>
      <c r="O743" s="263"/>
      <c r="P743" s="264"/>
      <c r="Q743" s="266"/>
      <c r="R743" s="267"/>
      <c r="S743" s="266"/>
      <c r="T743" s="266"/>
      <c r="U743" s="266"/>
      <c r="V743" s="266"/>
    </row>
    <row r="744" spans="1:22" ht="27.95" hidden="1" customHeight="1">
      <c r="A744" s="260"/>
      <c r="B744" s="260"/>
      <c r="C744" s="260"/>
      <c r="D744" s="260"/>
      <c r="E744" s="260"/>
      <c r="F744" s="260"/>
      <c r="G744" s="260"/>
      <c r="H744" s="268" t="s">
        <v>1508</v>
      </c>
      <c r="I744" s="230"/>
      <c r="J744" s="262">
        <v>1</v>
      </c>
      <c r="K744" s="263" t="s">
        <v>1509</v>
      </c>
      <c r="L744" s="264">
        <v>150000</v>
      </c>
      <c r="M744" s="265">
        <f>+J744*L744</f>
        <v>150000</v>
      </c>
      <c r="N744" s="262">
        <v>1</v>
      </c>
      <c r="O744" s="263" t="s">
        <v>1509</v>
      </c>
      <c r="P744" s="264">
        <v>150000</v>
      </c>
      <c r="Q744" s="265">
        <f>+N744*P744</f>
        <v>150000</v>
      </c>
      <c r="R744" s="267">
        <f>IF(J744="","",Q744/M744)</f>
        <v>1</v>
      </c>
      <c r="S744" s="266">
        <f>+IF(W744="DDS",Q744,0)</f>
        <v>0</v>
      </c>
      <c r="T744" s="266">
        <f>+IF(W744="ADD",Q744,0)</f>
        <v>0</v>
      </c>
      <c r="U744" s="266">
        <f>+IF(W744="DDS",0,IF(W744="ADD",0,Q744))</f>
        <v>150000</v>
      </c>
      <c r="V744" s="266">
        <v>0</v>
      </c>
    </row>
    <row r="745" spans="1:22" ht="27.95" hidden="1" customHeight="1">
      <c r="A745" s="260"/>
      <c r="B745" s="260"/>
      <c r="C745" s="260"/>
      <c r="D745" s="260"/>
      <c r="E745" s="260"/>
      <c r="F745" s="260"/>
      <c r="G745" s="260"/>
      <c r="H745" s="268" t="s">
        <v>1510</v>
      </c>
      <c r="I745" s="230"/>
      <c r="J745" s="262">
        <v>1</v>
      </c>
      <c r="K745" s="263" t="s">
        <v>1029</v>
      </c>
      <c r="L745" s="264">
        <v>250000</v>
      </c>
      <c r="M745" s="265">
        <f>+J745*L745</f>
        <v>250000</v>
      </c>
      <c r="N745" s="262">
        <v>1</v>
      </c>
      <c r="O745" s="263" t="s">
        <v>1029</v>
      </c>
      <c r="P745" s="264">
        <v>250000</v>
      </c>
      <c r="Q745" s="265">
        <f>+N745*P745</f>
        <v>250000</v>
      </c>
      <c r="R745" s="267">
        <f>IF(J745="","",Q745/M745)</f>
        <v>1</v>
      </c>
      <c r="S745" s="266">
        <f>+IF(W745="DDS",Q745,0)</f>
        <v>0</v>
      </c>
      <c r="T745" s="266">
        <f>+IF(W745="ADD",Q745,0)</f>
        <v>0</v>
      </c>
      <c r="U745" s="266">
        <f>+IF(W745="DDS",0,IF(W745="ADD",0,Q745))</f>
        <v>250000</v>
      </c>
      <c r="V745" s="266">
        <v>0</v>
      </c>
    </row>
    <row r="746" spans="1:22" ht="27.95" hidden="1" customHeight="1">
      <c r="A746" s="229" t="s">
        <v>997</v>
      </c>
      <c r="B746" s="229" t="s">
        <v>1002</v>
      </c>
      <c r="C746" s="229">
        <v>94</v>
      </c>
      <c r="D746" s="229">
        <v>5</v>
      </c>
      <c r="E746" s="229">
        <v>2</v>
      </c>
      <c r="F746" s="229">
        <v>2</v>
      </c>
      <c r="G746" s="229"/>
      <c r="H746" s="296" t="s">
        <v>135</v>
      </c>
      <c r="I746" s="230"/>
      <c r="J746" s="231"/>
      <c r="K746" s="232"/>
      <c r="L746" s="237"/>
      <c r="M746" s="234">
        <f>M747+M751</f>
        <v>800000</v>
      </c>
      <c r="N746" s="262"/>
      <c r="O746" s="263"/>
      <c r="P746" s="264"/>
      <c r="Q746" s="234">
        <f>Q747+Q751</f>
        <v>800000</v>
      </c>
      <c r="R746" s="267"/>
      <c r="S746" s="234">
        <f>S747+S751</f>
        <v>0</v>
      </c>
      <c r="T746" s="234">
        <f>T747+T751</f>
        <v>0</v>
      </c>
      <c r="U746" s="234">
        <f>U747+U751</f>
        <v>800000</v>
      </c>
      <c r="V746" s="234">
        <f>V747+V751</f>
        <v>0</v>
      </c>
    </row>
    <row r="747" spans="1:22" ht="27.95" hidden="1" customHeight="1">
      <c r="A747" s="229" t="s">
        <v>997</v>
      </c>
      <c r="B747" s="229" t="s">
        <v>1002</v>
      </c>
      <c r="C747" s="229">
        <v>94</v>
      </c>
      <c r="D747" s="260">
        <v>5</v>
      </c>
      <c r="E747" s="260">
        <v>2</v>
      </c>
      <c r="F747" s="260">
        <v>2</v>
      </c>
      <c r="G747" s="269" t="s">
        <v>960</v>
      </c>
      <c r="H747" s="268" t="s">
        <v>1236</v>
      </c>
      <c r="I747" s="230"/>
      <c r="J747" s="262"/>
      <c r="K747" s="263"/>
      <c r="L747" s="264"/>
      <c r="M747" s="265">
        <f>SUM(M748:M750)</f>
        <v>600000</v>
      </c>
      <c r="N747" s="262"/>
      <c r="O747" s="263"/>
      <c r="P747" s="264"/>
      <c r="Q747" s="265">
        <f>SUM(Q748:Q750)</f>
        <v>600000</v>
      </c>
      <c r="R747" s="267"/>
      <c r="S747" s="265">
        <f>SUM(S748:S750)</f>
        <v>0</v>
      </c>
      <c r="T747" s="265">
        <f>SUM(T748:T750)</f>
        <v>0</v>
      </c>
      <c r="U747" s="265">
        <f>SUM(U748:U750)</f>
        <v>600000</v>
      </c>
      <c r="V747" s="265">
        <f>SUM(V748:V750)</f>
        <v>0</v>
      </c>
    </row>
    <row r="748" spans="1:22" ht="27.95" hidden="1" customHeight="1">
      <c r="A748" s="260"/>
      <c r="B748" s="260"/>
      <c r="C748" s="260"/>
      <c r="D748" s="260"/>
      <c r="E748" s="260"/>
      <c r="F748" s="260"/>
      <c r="G748" s="260"/>
      <c r="H748" s="268" t="s">
        <v>1156</v>
      </c>
      <c r="I748" s="230"/>
      <c r="J748" s="262">
        <v>1</v>
      </c>
      <c r="K748" s="263" t="s">
        <v>1511</v>
      </c>
      <c r="L748" s="264">
        <v>225000</v>
      </c>
      <c r="M748" s="265">
        <f>+J748*L748</f>
        <v>225000</v>
      </c>
      <c r="N748" s="262">
        <v>1</v>
      </c>
      <c r="O748" s="263" t="s">
        <v>1511</v>
      </c>
      <c r="P748" s="264">
        <v>225000</v>
      </c>
      <c r="Q748" s="265">
        <f>+N748*P748</f>
        <v>225000</v>
      </c>
      <c r="R748" s="267">
        <f>IF(J748="","",Q748/M748)</f>
        <v>1</v>
      </c>
      <c r="S748" s="266">
        <f>+IF(W748="DDS",Q748,0)</f>
        <v>0</v>
      </c>
      <c r="T748" s="266">
        <f>+IF(W748="ADD",Q748,0)</f>
        <v>0</v>
      </c>
      <c r="U748" s="266">
        <f>+IF(W748="DDS",0,IF(W748="ADD",0,Q748))</f>
        <v>225000</v>
      </c>
      <c r="V748" s="266">
        <v>0</v>
      </c>
    </row>
    <row r="749" spans="1:22" ht="27.95" hidden="1" customHeight="1">
      <c r="A749" s="260"/>
      <c r="B749" s="260"/>
      <c r="C749" s="260"/>
      <c r="D749" s="260"/>
      <c r="E749" s="260"/>
      <c r="F749" s="260"/>
      <c r="G749" s="260"/>
      <c r="H749" s="268" t="s">
        <v>1512</v>
      </c>
      <c r="I749" s="230"/>
      <c r="J749" s="262">
        <v>1</v>
      </c>
      <c r="K749" s="263" t="s">
        <v>1511</v>
      </c>
      <c r="L749" s="264">
        <v>200000</v>
      </c>
      <c r="M749" s="265">
        <f>+J749*L749</f>
        <v>200000</v>
      </c>
      <c r="N749" s="262">
        <v>1</v>
      </c>
      <c r="O749" s="263" t="s">
        <v>1511</v>
      </c>
      <c r="P749" s="264">
        <v>200000</v>
      </c>
      <c r="Q749" s="265">
        <f>+N749*P749</f>
        <v>200000</v>
      </c>
      <c r="R749" s="267">
        <f>IF(J749="","",Q749/M749)</f>
        <v>1</v>
      </c>
      <c r="S749" s="266">
        <f>+IF(W749="DDS",Q749,0)</f>
        <v>0</v>
      </c>
      <c r="T749" s="266">
        <f>+IF(W749="ADD",Q749,0)</f>
        <v>0</v>
      </c>
      <c r="U749" s="266">
        <f>+IF(W749="DDS",0,IF(W749="ADD",0,Q749))</f>
        <v>200000</v>
      </c>
      <c r="V749" s="266">
        <v>0</v>
      </c>
    </row>
    <row r="750" spans="1:22" ht="27.95" hidden="1" customHeight="1">
      <c r="A750" s="260"/>
      <c r="B750" s="260"/>
      <c r="C750" s="260"/>
      <c r="D750" s="260"/>
      <c r="E750" s="260"/>
      <c r="F750" s="260"/>
      <c r="G750" s="260"/>
      <c r="H750" s="268" t="s">
        <v>1158</v>
      </c>
      <c r="I750" s="230"/>
      <c r="J750" s="262">
        <v>1</v>
      </c>
      <c r="K750" s="263" t="s">
        <v>1511</v>
      </c>
      <c r="L750" s="264">
        <v>175000</v>
      </c>
      <c r="M750" s="265">
        <f>+J750*L750</f>
        <v>175000</v>
      </c>
      <c r="N750" s="262">
        <v>1</v>
      </c>
      <c r="O750" s="263" t="s">
        <v>1511</v>
      </c>
      <c r="P750" s="264">
        <v>175000</v>
      </c>
      <c r="Q750" s="265">
        <f>+N750*P750</f>
        <v>175000</v>
      </c>
      <c r="R750" s="267">
        <f>IF(J750="","",Q750/M750)</f>
        <v>1</v>
      </c>
      <c r="S750" s="266">
        <f>+IF(W750="DDS",Q750,0)</f>
        <v>0</v>
      </c>
      <c r="T750" s="266">
        <f>+IF(W750="ADD",Q750,0)</f>
        <v>0</v>
      </c>
      <c r="U750" s="266">
        <f>+IF(W750="DDS",0,IF(W750="ADD",0,Q750))</f>
        <v>175000</v>
      </c>
      <c r="V750" s="266">
        <v>0</v>
      </c>
    </row>
    <row r="751" spans="1:22" ht="27.95" hidden="1" customHeight="1">
      <c r="A751" s="229" t="s">
        <v>997</v>
      </c>
      <c r="B751" s="229" t="s">
        <v>1002</v>
      </c>
      <c r="C751" s="229">
        <v>94</v>
      </c>
      <c r="D751" s="260">
        <v>5</v>
      </c>
      <c r="E751" s="260">
        <v>2</v>
      </c>
      <c r="F751" s="260">
        <v>2</v>
      </c>
      <c r="G751" s="269" t="s">
        <v>1002</v>
      </c>
      <c r="H751" s="268" t="s">
        <v>1513</v>
      </c>
      <c r="I751" s="230"/>
      <c r="J751" s="262"/>
      <c r="K751" s="263"/>
      <c r="L751" s="264"/>
      <c r="M751" s="265">
        <f>M752</f>
        <v>200000</v>
      </c>
      <c r="N751" s="262"/>
      <c r="O751" s="263"/>
      <c r="P751" s="264"/>
      <c r="Q751" s="265">
        <f>Q752</f>
        <v>200000</v>
      </c>
      <c r="R751" s="267"/>
      <c r="S751" s="266"/>
      <c r="T751" s="266"/>
      <c r="U751" s="265">
        <f>U752</f>
        <v>200000</v>
      </c>
      <c r="V751" s="266"/>
    </row>
    <row r="752" spans="1:22" ht="27.95" hidden="1" customHeight="1">
      <c r="A752" s="260"/>
      <c r="B752" s="260"/>
      <c r="C752" s="260"/>
      <c r="D752" s="260"/>
      <c r="E752" s="260"/>
      <c r="F752" s="260"/>
      <c r="G752" s="260"/>
      <c r="H752" s="268" t="s">
        <v>1514</v>
      </c>
      <c r="I752" s="230"/>
      <c r="J752" s="262">
        <v>2</v>
      </c>
      <c r="K752" s="263" t="s">
        <v>1291</v>
      </c>
      <c r="L752" s="264">
        <v>100000</v>
      </c>
      <c r="M752" s="265">
        <f>+J752*L752</f>
        <v>200000</v>
      </c>
      <c r="N752" s="262">
        <v>2</v>
      </c>
      <c r="O752" s="263" t="s">
        <v>1291</v>
      </c>
      <c r="P752" s="264">
        <v>100000</v>
      </c>
      <c r="Q752" s="265">
        <f>+N752*P752</f>
        <v>200000</v>
      </c>
      <c r="R752" s="267">
        <f>IF(J752="","",Q752/M752)</f>
        <v>1</v>
      </c>
      <c r="S752" s="266">
        <f>+IF(W752="DDS",Q752,0)</f>
        <v>0</v>
      </c>
      <c r="T752" s="266">
        <f>+IF(W752="ADD",Q752,0)</f>
        <v>0</v>
      </c>
      <c r="U752" s="266">
        <f>+IF(W752="DDS",0,IF(W752="ADD",0,Q752))</f>
        <v>200000</v>
      </c>
      <c r="V752" s="266">
        <v>0</v>
      </c>
    </row>
    <row r="753" spans="1:22" ht="27.95" hidden="1" customHeight="1">
      <c r="A753" s="229" t="s">
        <v>997</v>
      </c>
      <c r="B753" s="229" t="s">
        <v>1002</v>
      </c>
      <c r="C753" s="229">
        <v>94</v>
      </c>
      <c r="D753" s="229">
        <v>5</v>
      </c>
      <c r="E753" s="229">
        <v>2</v>
      </c>
      <c r="F753" s="229">
        <v>4</v>
      </c>
      <c r="G753" s="229"/>
      <c r="H753" s="296" t="s">
        <v>137</v>
      </c>
      <c r="I753" s="230"/>
      <c r="J753" s="231"/>
      <c r="K753" s="232"/>
      <c r="L753" s="237"/>
      <c r="M753" s="234">
        <f>M754+M756</f>
        <v>18700000</v>
      </c>
      <c r="N753" s="262"/>
      <c r="O753" s="263"/>
      <c r="P753" s="264"/>
      <c r="Q753" s="234">
        <f>SUM(Q755:Q757)</f>
        <v>18500000</v>
      </c>
      <c r="R753" s="267"/>
      <c r="S753" s="234">
        <f>SUM(S755:S757)</f>
        <v>0</v>
      </c>
      <c r="T753" s="234">
        <f>SUM(T755:T757)</f>
        <v>0</v>
      </c>
      <c r="U753" s="234">
        <f>SUM(U755:U757)</f>
        <v>18500000</v>
      </c>
      <c r="V753" s="234">
        <f>SUM(V755:V757)</f>
        <v>0</v>
      </c>
    </row>
    <row r="754" spans="1:22" ht="27.95" hidden="1" customHeight="1">
      <c r="A754" s="229" t="s">
        <v>997</v>
      </c>
      <c r="B754" s="229" t="s">
        <v>1002</v>
      </c>
      <c r="C754" s="229">
        <v>94</v>
      </c>
      <c r="D754" s="260">
        <v>5</v>
      </c>
      <c r="E754" s="260">
        <v>2</v>
      </c>
      <c r="F754" s="260">
        <v>4</v>
      </c>
      <c r="G754" s="269" t="s">
        <v>963</v>
      </c>
      <c r="H754" s="268" t="s">
        <v>1515</v>
      </c>
      <c r="I754" s="230"/>
      <c r="J754" s="262"/>
      <c r="K754" s="263"/>
      <c r="L754" s="264"/>
      <c r="M754" s="265">
        <f>M755</f>
        <v>8100000</v>
      </c>
      <c r="N754" s="262"/>
      <c r="O754" s="263"/>
      <c r="P754" s="264"/>
      <c r="Q754" s="265"/>
      <c r="R754" s="267"/>
      <c r="S754" s="266"/>
      <c r="T754" s="266"/>
      <c r="U754" s="266"/>
      <c r="V754" s="266"/>
    </row>
    <row r="755" spans="1:22" ht="27.95" hidden="1" customHeight="1">
      <c r="A755" s="260"/>
      <c r="B755" s="260"/>
      <c r="C755" s="260"/>
      <c r="D755" s="260"/>
      <c r="E755" s="260"/>
      <c r="F755" s="260"/>
      <c r="G755" s="260"/>
      <c r="H755" s="268" t="s">
        <v>1516</v>
      </c>
      <c r="I755" s="230"/>
      <c r="J755" s="262">
        <v>81</v>
      </c>
      <c r="K755" s="263" t="s">
        <v>1511</v>
      </c>
      <c r="L755" s="264">
        <v>100000</v>
      </c>
      <c r="M755" s="265">
        <f>+J755*L755</f>
        <v>8100000</v>
      </c>
      <c r="N755" s="262">
        <v>81</v>
      </c>
      <c r="O755" s="263" t="s">
        <v>1511</v>
      </c>
      <c r="P755" s="264">
        <v>100000</v>
      </c>
      <c r="Q755" s="265">
        <f>+N755*P755</f>
        <v>8100000</v>
      </c>
      <c r="R755" s="267">
        <f>IF(J755="","",Q755/M755)</f>
        <v>1</v>
      </c>
      <c r="S755" s="266">
        <f>+IF(W755="DDS",Q755,0)</f>
        <v>0</v>
      </c>
      <c r="T755" s="266">
        <f>+IF(W755="ADD",Q755,0)</f>
        <v>0</v>
      </c>
      <c r="U755" s="266">
        <f>+IF(W755="DDS",0,IF(W755="ADD",0,Q755))</f>
        <v>8100000</v>
      </c>
      <c r="V755" s="266">
        <v>0</v>
      </c>
    </row>
    <row r="756" spans="1:22" ht="27.95" hidden="1" customHeight="1">
      <c r="A756" s="229" t="s">
        <v>997</v>
      </c>
      <c r="B756" s="229" t="s">
        <v>1002</v>
      </c>
      <c r="C756" s="229">
        <v>94</v>
      </c>
      <c r="D756" s="260">
        <v>5</v>
      </c>
      <c r="E756" s="260">
        <v>2</v>
      </c>
      <c r="F756" s="260">
        <v>4</v>
      </c>
      <c r="G756" s="269" t="s">
        <v>995</v>
      </c>
      <c r="H756" s="268" t="s">
        <v>254</v>
      </c>
      <c r="I756" s="230"/>
      <c r="J756" s="262"/>
      <c r="K756" s="263"/>
      <c r="L756" s="264"/>
      <c r="M756" s="265">
        <f>M757</f>
        <v>10600000</v>
      </c>
      <c r="N756" s="262"/>
      <c r="O756" s="263"/>
      <c r="P756" s="264"/>
      <c r="Q756" s="266"/>
      <c r="R756" s="267"/>
      <c r="S756" s="266"/>
      <c r="T756" s="266"/>
      <c r="U756" s="266"/>
      <c r="V756" s="266"/>
    </row>
    <row r="757" spans="1:22" ht="27.95" hidden="1" customHeight="1">
      <c r="A757" s="260"/>
      <c r="B757" s="260"/>
      <c r="C757" s="260"/>
      <c r="D757" s="260"/>
      <c r="E757" s="260"/>
      <c r="F757" s="260"/>
      <c r="G757" s="260"/>
      <c r="H757" s="268" t="s">
        <v>1517</v>
      </c>
      <c r="I757" s="230"/>
      <c r="J757" s="262">
        <v>2</v>
      </c>
      <c r="K757" s="263" t="s">
        <v>1147</v>
      </c>
      <c r="L757" s="264">
        <v>5300000</v>
      </c>
      <c r="M757" s="265">
        <f>+J757*L757</f>
        <v>10600000</v>
      </c>
      <c r="N757" s="262">
        <v>2</v>
      </c>
      <c r="O757" s="263" t="s">
        <v>1147</v>
      </c>
      <c r="P757" s="264">
        <v>5200000</v>
      </c>
      <c r="Q757" s="265">
        <f>+N757*P757</f>
        <v>10400000</v>
      </c>
      <c r="R757" s="267">
        <f>IF(J757="","",Q757/M757)</f>
        <v>0.98113207547169812</v>
      </c>
      <c r="S757" s="266">
        <f>+IF(W757="DDS",Q757,0)</f>
        <v>0</v>
      </c>
      <c r="T757" s="266">
        <f>+IF(W757="ADD",Q757,0)</f>
        <v>0</v>
      </c>
      <c r="U757" s="266">
        <f>+IF(W757="DDS",0,IF(W757="ADD",0,Q757))</f>
        <v>10400000</v>
      </c>
      <c r="V757" s="266">
        <v>0</v>
      </c>
    </row>
    <row r="758" spans="1:22" ht="27.95" customHeight="1">
      <c r="A758" s="260" t="s">
        <v>997</v>
      </c>
      <c r="B758" s="260" t="s">
        <v>1002</v>
      </c>
      <c r="C758" s="260" t="s">
        <v>1496</v>
      </c>
      <c r="D758" s="229" t="s">
        <v>997</v>
      </c>
      <c r="E758" s="229" t="s">
        <v>1002</v>
      </c>
      <c r="F758" s="229">
        <v>95</v>
      </c>
      <c r="G758" s="229" t="s">
        <v>959</v>
      </c>
      <c r="H758" s="238" t="s">
        <v>369</v>
      </c>
      <c r="I758" s="230" t="s">
        <v>1518</v>
      </c>
      <c r="J758" s="239"/>
      <c r="K758" s="240">
        <v>12</v>
      </c>
      <c r="L758" s="241" t="s">
        <v>1073</v>
      </c>
      <c r="M758" s="234">
        <f>+M759</f>
        <v>2120000</v>
      </c>
      <c r="N758" s="266">
        <v>0</v>
      </c>
      <c r="O758" s="240">
        <v>12</v>
      </c>
      <c r="P758" s="241" t="s">
        <v>1073</v>
      </c>
      <c r="Q758" s="234">
        <f>+Q759</f>
        <v>2120000</v>
      </c>
      <c r="R758" s="236">
        <f>Q758/M758*100%</f>
        <v>1</v>
      </c>
      <c r="S758" s="234">
        <f t="shared" ref="S758:V759" si="121">+S759</f>
        <v>0</v>
      </c>
      <c r="T758" s="234">
        <f t="shared" si="121"/>
        <v>0</v>
      </c>
      <c r="U758" s="234">
        <f t="shared" si="121"/>
        <v>2120000</v>
      </c>
      <c r="V758" s="234">
        <f t="shared" si="121"/>
        <v>0</v>
      </c>
    </row>
    <row r="759" spans="1:22" ht="27.95" hidden="1" customHeight="1">
      <c r="A759" s="260" t="s">
        <v>997</v>
      </c>
      <c r="B759" s="260" t="s">
        <v>1002</v>
      </c>
      <c r="C759" s="260" t="s">
        <v>1496</v>
      </c>
      <c r="D759" s="244" t="s">
        <v>363</v>
      </c>
      <c r="E759" s="244" t="s">
        <v>970</v>
      </c>
      <c r="F759" s="244" t="s">
        <v>959</v>
      </c>
      <c r="G759" s="244" t="s">
        <v>959</v>
      </c>
      <c r="H759" s="245" t="s">
        <v>1026</v>
      </c>
      <c r="I759" s="230"/>
      <c r="J759" s="246"/>
      <c r="K759" s="247"/>
      <c r="L759" s="248"/>
      <c r="M759" s="249">
        <f>+M760</f>
        <v>2120000</v>
      </c>
      <c r="N759" s="266">
        <v>0</v>
      </c>
      <c r="O759" s="261"/>
      <c r="P759" s="266">
        <v>0</v>
      </c>
      <c r="Q759" s="249">
        <f>+Q760</f>
        <v>2120000</v>
      </c>
      <c r="R759" s="267" t="str">
        <f t="shared" si="115"/>
        <v/>
      </c>
      <c r="S759" s="249">
        <f t="shared" si="121"/>
        <v>0</v>
      </c>
      <c r="T759" s="249">
        <f t="shared" si="121"/>
        <v>0</v>
      </c>
      <c r="U759" s="249">
        <f t="shared" si="121"/>
        <v>2120000</v>
      </c>
      <c r="V759" s="249">
        <f t="shared" si="121"/>
        <v>0</v>
      </c>
    </row>
    <row r="760" spans="1:22" ht="27.95" hidden="1" customHeight="1">
      <c r="A760" s="260" t="s">
        <v>997</v>
      </c>
      <c r="B760" s="260" t="s">
        <v>1002</v>
      </c>
      <c r="C760" s="260" t="s">
        <v>1496</v>
      </c>
      <c r="D760" s="252" t="s">
        <v>363</v>
      </c>
      <c r="E760" s="252" t="s">
        <v>970</v>
      </c>
      <c r="F760" s="252" t="s">
        <v>362</v>
      </c>
      <c r="G760" s="252" t="s">
        <v>959</v>
      </c>
      <c r="H760" s="253" t="s">
        <v>134</v>
      </c>
      <c r="I760" s="230"/>
      <c r="J760" s="254"/>
      <c r="K760" s="255"/>
      <c r="L760" s="256"/>
      <c r="M760" s="257">
        <f>+SUM(M761:M765)</f>
        <v>2120000</v>
      </c>
      <c r="N760" s="266">
        <v>0</v>
      </c>
      <c r="O760" s="261"/>
      <c r="P760" s="266">
        <v>0</v>
      </c>
      <c r="Q760" s="257">
        <f>+SUM(Q761:Q765)</f>
        <v>2120000</v>
      </c>
      <c r="R760" s="267" t="str">
        <f t="shared" si="115"/>
        <v/>
      </c>
      <c r="S760" s="257">
        <f>+SUM(S761:S765)</f>
        <v>0</v>
      </c>
      <c r="T760" s="257">
        <f>+SUM(T761:T765)</f>
        <v>0</v>
      </c>
      <c r="U760" s="257">
        <f>+SUM(U761:U765)</f>
        <v>2120000</v>
      </c>
      <c r="V760" s="257">
        <f>+SUM(V761:V765)</f>
        <v>0</v>
      </c>
    </row>
    <row r="761" spans="1:22" ht="27.95" hidden="1" customHeight="1">
      <c r="A761" s="260" t="s">
        <v>997</v>
      </c>
      <c r="B761" s="260" t="s">
        <v>1002</v>
      </c>
      <c r="C761" s="260" t="s">
        <v>1496</v>
      </c>
      <c r="D761" s="260" t="s">
        <v>363</v>
      </c>
      <c r="E761" s="260" t="s">
        <v>970</v>
      </c>
      <c r="F761" s="260" t="s">
        <v>362</v>
      </c>
      <c r="G761" s="260" t="s">
        <v>960</v>
      </c>
      <c r="H761" s="261" t="s">
        <v>245</v>
      </c>
      <c r="I761" s="230"/>
      <c r="J761" s="262">
        <v>1</v>
      </c>
      <c r="K761" s="263" t="s">
        <v>1029</v>
      </c>
      <c r="L761" s="264">
        <v>175000</v>
      </c>
      <c r="M761" s="265">
        <f>+J761*L761</f>
        <v>175000</v>
      </c>
      <c r="N761" s="262">
        <v>1</v>
      </c>
      <c r="O761" s="263" t="s">
        <v>1029</v>
      </c>
      <c r="P761" s="264">
        <v>175000</v>
      </c>
      <c r="Q761" s="266">
        <f>+N761*P761</f>
        <v>175000</v>
      </c>
      <c r="R761" s="267">
        <f t="shared" si="115"/>
        <v>1</v>
      </c>
      <c r="S761" s="266">
        <f>+IF(W761="DDS",Q761,0)</f>
        <v>0</v>
      </c>
      <c r="T761" s="266">
        <f>+IF(W761="ADD",Q761,0)</f>
        <v>0</v>
      </c>
      <c r="U761" s="266">
        <f>+IF(W761="DDS",0,IF(W761="ADD",0,Q761))</f>
        <v>175000</v>
      </c>
      <c r="V761" s="266">
        <v>0</v>
      </c>
    </row>
    <row r="762" spans="1:22" ht="27.95" hidden="1" customHeight="1">
      <c r="A762" s="229" t="s">
        <v>997</v>
      </c>
      <c r="B762" s="229" t="s">
        <v>1002</v>
      </c>
      <c r="C762" s="229">
        <v>95</v>
      </c>
      <c r="D762" s="260" t="s">
        <v>363</v>
      </c>
      <c r="E762" s="260" t="s">
        <v>970</v>
      </c>
      <c r="F762" s="260" t="s">
        <v>362</v>
      </c>
      <c r="G762" s="260" t="s">
        <v>1038</v>
      </c>
      <c r="H762" s="278" t="s">
        <v>1090</v>
      </c>
      <c r="I762" s="230"/>
      <c r="J762" s="262">
        <v>1</v>
      </c>
      <c r="K762" s="263" t="s">
        <v>1029</v>
      </c>
      <c r="L762" s="264">
        <v>200000</v>
      </c>
      <c r="M762" s="265">
        <f>+J762*L762</f>
        <v>200000</v>
      </c>
      <c r="N762" s="262">
        <v>1</v>
      </c>
      <c r="O762" s="263" t="s">
        <v>1029</v>
      </c>
      <c r="P762" s="264">
        <v>200000</v>
      </c>
      <c r="Q762" s="266">
        <f>+N762*P762</f>
        <v>200000</v>
      </c>
      <c r="R762" s="267">
        <f t="shared" si="115"/>
        <v>1</v>
      </c>
      <c r="S762" s="266">
        <f>+IF(W762="DDS",Q762,0)</f>
        <v>0</v>
      </c>
      <c r="T762" s="266">
        <f>+IF(W762="ADD",Q762,0)</f>
        <v>0</v>
      </c>
      <c r="U762" s="266">
        <f>+IF(W762="DDS",0,IF(W762="ADD",0,Q762))</f>
        <v>200000</v>
      </c>
      <c r="V762" s="266">
        <v>0</v>
      </c>
    </row>
    <row r="763" spans="1:22" ht="27.95" hidden="1" customHeight="1">
      <c r="A763" s="229" t="s">
        <v>997</v>
      </c>
      <c r="B763" s="229" t="s">
        <v>1002</v>
      </c>
      <c r="C763" s="229">
        <v>95</v>
      </c>
      <c r="D763" s="260" t="s">
        <v>363</v>
      </c>
      <c r="E763" s="260" t="s">
        <v>970</v>
      </c>
      <c r="F763" s="260" t="s">
        <v>362</v>
      </c>
      <c r="G763" s="260" t="s">
        <v>1040</v>
      </c>
      <c r="H763" s="261" t="s">
        <v>252</v>
      </c>
      <c r="I763" s="230"/>
      <c r="J763" s="262"/>
      <c r="K763" s="263"/>
      <c r="L763" s="264"/>
      <c r="M763" s="265"/>
      <c r="N763" s="266">
        <v>0</v>
      </c>
      <c r="O763" s="261"/>
      <c r="P763" s="266">
        <v>0</v>
      </c>
      <c r="Q763" s="249"/>
      <c r="R763" s="267" t="str">
        <f t="shared" si="115"/>
        <v/>
      </c>
      <c r="S763" s="249">
        <f>+S764</f>
        <v>0</v>
      </c>
      <c r="T763" s="249">
        <f>+T764</f>
        <v>0</v>
      </c>
      <c r="U763" s="249">
        <v>0</v>
      </c>
      <c r="V763" s="249">
        <f>+V764</f>
        <v>0</v>
      </c>
    </row>
    <row r="764" spans="1:22" ht="27.95" hidden="1" customHeight="1">
      <c r="A764" s="229"/>
      <c r="B764" s="229"/>
      <c r="C764" s="229"/>
      <c r="D764" s="260"/>
      <c r="E764" s="260"/>
      <c r="F764" s="260"/>
      <c r="G764" s="260"/>
      <c r="H764" s="268" t="s">
        <v>1519</v>
      </c>
      <c r="I764" s="230"/>
      <c r="J764" s="262">
        <v>80</v>
      </c>
      <c r="K764" s="263" t="s">
        <v>1042</v>
      </c>
      <c r="L764" s="264">
        <v>10000</v>
      </c>
      <c r="M764" s="265">
        <f>+J764*L764</f>
        <v>800000</v>
      </c>
      <c r="N764" s="262">
        <v>80</v>
      </c>
      <c r="O764" s="263" t="s">
        <v>1042</v>
      </c>
      <c r="P764" s="264">
        <v>10000</v>
      </c>
      <c r="Q764" s="266">
        <f>+N764*P764</f>
        <v>800000</v>
      </c>
      <c r="R764" s="267">
        <f t="shared" si="115"/>
        <v>1</v>
      </c>
      <c r="S764" s="266">
        <f>+IF(W764="DDS",Q764,0)</f>
        <v>0</v>
      </c>
      <c r="T764" s="266">
        <f>+IF(W764="ADD",Q764,0)</f>
        <v>0</v>
      </c>
      <c r="U764" s="266">
        <f>+IF(W764="DDS",0,IF(W764="ADD",0,Q764))</f>
        <v>800000</v>
      </c>
      <c r="V764" s="266">
        <v>0</v>
      </c>
    </row>
    <row r="765" spans="1:22" ht="27.95" hidden="1" customHeight="1">
      <c r="A765" s="260"/>
      <c r="B765" s="260"/>
      <c r="C765" s="260"/>
      <c r="D765" s="260"/>
      <c r="E765" s="260"/>
      <c r="F765" s="260"/>
      <c r="G765" s="260"/>
      <c r="H765" s="268" t="s">
        <v>1520</v>
      </c>
      <c r="I765" s="230"/>
      <c r="J765" s="262">
        <v>27</v>
      </c>
      <c r="K765" s="263" t="s">
        <v>1042</v>
      </c>
      <c r="L765" s="264">
        <v>35000</v>
      </c>
      <c r="M765" s="265">
        <f>+J765*L765</f>
        <v>945000</v>
      </c>
      <c r="N765" s="262">
        <v>27</v>
      </c>
      <c r="O765" s="263" t="s">
        <v>1042</v>
      </c>
      <c r="P765" s="264">
        <v>35000</v>
      </c>
      <c r="Q765" s="266">
        <f>+N765*P765</f>
        <v>945000</v>
      </c>
      <c r="R765" s="267">
        <f t="shared" si="115"/>
        <v>1</v>
      </c>
      <c r="S765" s="266">
        <f>+IF(W765="DDS",Q765,0)</f>
        <v>0</v>
      </c>
      <c r="T765" s="266">
        <f>+IF(W765="ADD",Q765,0)</f>
        <v>0</v>
      </c>
      <c r="U765" s="266">
        <f>+IF(W765="DDS",0,IF(W765="ADD",0,Q765))</f>
        <v>945000</v>
      </c>
      <c r="V765" s="266">
        <v>0</v>
      </c>
    </row>
    <row r="766" spans="1:22" ht="27.95" customHeight="1">
      <c r="A766" s="260" t="s">
        <v>997</v>
      </c>
      <c r="B766" s="260" t="s">
        <v>1002</v>
      </c>
      <c r="C766" s="260">
        <v>95</v>
      </c>
      <c r="D766" s="229" t="s">
        <v>997</v>
      </c>
      <c r="E766" s="229" t="s">
        <v>1002</v>
      </c>
      <c r="F766" s="229" t="s">
        <v>1521</v>
      </c>
      <c r="G766" s="229" t="s">
        <v>959</v>
      </c>
      <c r="H766" s="238" t="s">
        <v>370</v>
      </c>
      <c r="I766" s="230" t="s">
        <v>1522</v>
      </c>
      <c r="J766" s="239"/>
      <c r="K766" s="240">
        <v>12</v>
      </c>
      <c r="L766" s="241" t="s">
        <v>1073</v>
      </c>
      <c r="M766" s="234">
        <f>+M767</f>
        <v>6240000</v>
      </c>
      <c r="N766" s="266">
        <v>0</v>
      </c>
      <c r="O766" s="240">
        <v>12</v>
      </c>
      <c r="P766" s="241" t="s">
        <v>1073</v>
      </c>
      <c r="Q766" s="234">
        <f>+Q767</f>
        <v>6240000</v>
      </c>
      <c r="R766" s="236">
        <f>Q766/M766*100%</f>
        <v>1</v>
      </c>
      <c r="S766" s="234">
        <f>+S767</f>
        <v>0</v>
      </c>
      <c r="T766" s="234">
        <f>+T767</f>
        <v>0</v>
      </c>
      <c r="U766" s="234">
        <f>+U767</f>
        <v>6240000</v>
      </c>
      <c r="V766" s="234">
        <f>+V767</f>
        <v>0</v>
      </c>
    </row>
    <row r="767" spans="1:22" ht="27.95" hidden="1" customHeight="1">
      <c r="A767" s="260" t="s">
        <v>997</v>
      </c>
      <c r="B767" s="260" t="s">
        <v>1002</v>
      </c>
      <c r="C767" s="260">
        <v>95</v>
      </c>
      <c r="D767" s="244" t="s">
        <v>363</v>
      </c>
      <c r="E767" s="244" t="s">
        <v>970</v>
      </c>
      <c r="F767" s="244" t="s">
        <v>959</v>
      </c>
      <c r="G767" s="244" t="s">
        <v>959</v>
      </c>
      <c r="H767" s="245" t="s">
        <v>1026</v>
      </c>
      <c r="I767" s="230"/>
      <c r="J767" s="246"/>
      <c r="K767" s="247"/>
      <c r="L767" s="248"/>
      <c r="M767" s="249">
        <f>+M768+M772</f>
        <v>6240000</v>
      </c>
      <c r="N767" s="266">
        <v>0</v>
      </c>
      <c r="O767" s="261"/>
      <c r="P767" s="266">
        <v>0</v>
      </c>
      <c r="Q767" s="249">
        <f>+Q768+Q772</f>
        <v>6240000</v>
      </c>
      <c r="R767" s="267" t="str">
        <f t="shared" si="115"/>
        <v/>
      </c>
      <c r="S767" s="249">
        <f>+S768+S772</f>
        <v>0</v>
      </c>
      <c r="T767" s="249">
        <f>+T768+T772</f>
        <v>0</v>
      </c>
      <c r="U767" s="249">
        <f>+U768+U772</f>
        <v>6240000</v>
      </c>
      <c r="V767" s="249">
        <f>+V768+V772</f>
        <v>0</v>
      </c>
    </row>
    <row r="768" spans="1:22" ht="27.95" hidden="1" customHeight="1">
      <c r="A768" s="260" t="s">
        <v>997</v>
      </c>
      <c r="B768" s="260" t="s">
        <v>1002</v>
      </c>
      <c r="C768" s="260">
        <v>95</v>
      </c>
      <c r="D768" s="252" t="s">
        <v>363</v>
      </c>
      <c r="E768" s="252" t="s">
        <v>970</v>
      </c>
      <c r="F768" s="252" t="s">
        <v>362</v>
      </c>
      <c r="G768" s="252" t="s">
        <v>959</v>
      </c>
      <c r="H768" s="253" t="s">
        <v>134</v>
      </c>
      <c r="I768" s="230"/>
      <c r="J768" s="254"/>
      <c r="K768" s="255"/>
      <c r="L768" s="256"/>
      <c r="M768" s="257">
        <f>+SUM(M769:M771)</f>
        <v>4140000</v>
      </c>
      <c r="N768" s="266">
        <v>0</v>
      </c>
      <c r="O768" s="261"/>
      <c r="P768" s="266">
        <v>0</v>
      </c>
      <c r="Q768" s="257">
        <f>+SUM(Q769:Q771)</f>
        <v>4140000</v>
      </c>
      <c r="R768" s="267" t="str">
        <f t="shared" si="115"/>
        <v/>
      </c>
      <c r="S768" s="257">
        <f>+SUM(S769:S771)</f>
        <v>0</v>
      </c>
      <c r="T768" s="257">
        <f>+SUM(T769:T771)</f>
        <v>0</v>
      </c>
      <c r="U768" s="257">
        <f>+SUM(U769:U771)</f>
        <v>4140000</v>
      </c>
      <c r="V768" s="257">
        <f>+SUM(V769:V771)</f>
        <v>0</v>
      </c>
    </row>
    <row r="769" spans="1:22" ht="27.95" hidden="1" customHeight="1">
      <c r="A769" s="260" t="s">
        <v>997</v>
      </c>
      <c r="B769" s="260" t="s">
        <v>1002</v>
      </c>
      <c r="C769" s="260">
        <v>95</v>
      </c>
      <c r="D769" s="260" t="s">
        <v>363</v>
      </c>
      <c r="E769" s="260" t="s">
        <v>970</v>
      </c>
      <c r="F769" s="260" t="s">
        <v>362</v>
      </c>
      <c r="G769" s="260" t="s">
        <v>960</v>
      </c>
      <c r="H769" s="261" t="s">
        <v>245</v>
      </c>
      <c r="I769" s="230"/>
      <c r="J769" s="262">
        <v>1</v>
      </c>
      <c r="K769" s="263" t="s">
        <v>1029</v>
      </c>
      <c r="L769" s="264">
        <v>200000</v>
      </c>
      <c r="M769" s="265">
        <f>+J769*L769</f>
        <v>200000</v>
      </c>
      <c r="N769" s="262">
        <v>1</v>
      </c>
      <c r="O769" s="263" t="s">
        <v>1029</v>
      </c>
      <c r="P769" s="266">
        <v>200000</v>
      </c>
      <c r="Q769" s="266">
        <f>+N769*P769</f>
        <v>200000</v>
      </c>
      <c r="R769" s="267">
        <f t="shared" si="115"/>
        <v>1</v>
      </c>
      <c r="S769" s="266">
        <f>+IF(W769="DDS",Q769,0)</f>
        <v>0</v>
      </c>
      <c r="T769" s="266">
        <f>+IF(W769="ADD",Q769,0)</f>
        <v>0</v>
      </c>
      <c r="U769" s="266">
        <f>+IF(W769="DDS",0,IF(W769="ADD",0,Q769))</f>
        <v>200000</v>
      </c>
      <c r="V769" s="266">
        <v>0</v>
      </c>
    </row>
    <row r="770" spans="1:22" ht="27.95" hidden="1" customHeight="1">
      <c r="A770" s="229" t="s">
        <v>997</v>
      </c>
      <c r="B770" s="229" t="s">
        <v>1002</v>
      </c>
      <c r="C770" s="229" t="s">
        <v>1521</v>
      </c>
      <c r="D770" s="260" t="s">
        <v>363</v>
      </c>
      <c r="E770" s="260" t="s">
        <v>970</v>
      </c>
      <c r="F770" s="260" t="s">
        <v>362</v>
      </c>
      <c r="G770" s="260" t="s">
        <v>1038</v>
      </c>
      <c r="H770" s="278" t="s">
        <v>1090</v>
      </c>
      <c r="I770" s="230"/>
      <c r="J770" s="262">
        <v>1</v>
      </c>
      <c r="K770" s="263" t="s">
        <v>1029</v>
      </c>
      <c r="L770" s="264">
        <v>200000</v>
      </c>
      <c r="M770" s="265">
        <f>+J770*L770</f>
        <v>200000</v>
      </c>
      <c r="N770" s="262">
        <v>1</v>
      </c>
      <c r="O770" s="263" t="s">
        <v>1029</v>
      </c>
      <c r="P770" s="266">
        <v>200000</v>
      </c>
      <c r="Q770" s="266">
        <f>+N770*P770</f>
        <v>200000</v>
      </c>
      <c r="R770" s="267">
        <f t="shared" si="115"/>
        <v>1</v>
      </c>
      <c r="S770" s="266">
        <f>+IF(W770="DDS",Q770,0)</f>
        <v>0</v>
      </c>
      <c r="T770" s="266">
        <f>+IF(W770="ADD",Q770,0)</f>
        <v>0</v>
      </c>
      <c r="U770" s="266">
        <f>+IF(W770="DDS",0,IF(W770="ADD",0,Q770))</f>
        <v>200000</v>
      </c>
      <c r="V770" s="266">
        <v>0</v>
      </c>
    </row>
    <row r="771" spans="1:22" ht="27.95" hidden="1" customHeight="1">
      <c r="A771" s="260" t="s">
        <v>997</v>
      </c>
      <c r="B771" s="260" t="s">
        <v>1002</v>
      </c>
      <c r="C771" s="260" t="s">
        <v>1521</v>
      </c>
      <c r="D771" s="260" t="s">
        <v>363</v>
      </c>
      <c r="E771" s="260" t="s">
        <v>970</v>
      </c>
      <c r="F771" s="260" t="s">
        <v>362</v>
      </c>
      <c r="G771" s="260" t="s">
        <v>1040</v>
      </c>
      <c r="H771" s="261" t="s">
        <v>252</v>
      </c>
      <c r="I771" s="230"/>
      <c r="J771" s="262">
        <v>374</v>
      </c>
      <c r="K771" s="263" t="s">
        <v>1096</v>
      </c>
      <c r="L771" s="264">
        <v>10000</v>
      </c>
      <c r="M771" s="265">
        <f>+J771*L771</f>
        <v>3740000</v>
      </c>
      <c r="N771" s="266">
        <v>374</v>
      </c>
      <c r="O771" s="261" t="s">
        <v>1096</v>
      </c>
      <c r="P771" s="266">
        <v>10000</v>
      </c>
      <c r="Q771" s="266">
        <f>+N771*P771</f>
        <v>3740000</v>
      </c>
      <c r="R771" s="267">
        <f t="shared" si="115"/>
        <v>1</v>
      </c>
      <c r="S771" s="266">
        <f>+IF(W771="DDS",Q771,0)</f>
        <v>0</v>
      </c>
      <c r="T771" s="266">
        <f>+IF(W771="ADD",Q771,0)</f>
        <v>0</v>
      </c>
      <c r="U771" s="266">
        <f>+IF(W771="DDS",0,IF(W771="ADD",0,Q771))</f>
        <v>3740000</v>
      </c>
      <c r="V771" s="266">
        <v>0</v>
      </c>
    </row>
    <row r="772" spans="1:22" ht="27.95" hidden="1" customHeight="1">
      <c r="A772" s="229" t="s">
        <v>997</v>
      </c>
      <c r="B772" s="229" t="s">
        <v>1002</v>
      </c>
      <c r="C772" s="229" t="s">
        <v>1521</v>
      </c>
      <c r="D772" s="252" t="s">
        <v>363</v>
      </c>
      <c r="E772" s="252" t="s">
        <v>970</v>
      </c>
      <c r="F772" s="252" t="s">
        <v>970</v>
      </c>
      <c r="G772" s="252" t="s">
        <v>959</v>
      </c>
      <c r="H772" s="253" t="s">
        <v>135</v>
      </c>
      <c r="I772" s="230"/>
      <c r="J772" s="254"/>
      <c r="K772" s="255"/>
      <c r="L772" s="256"/>
      <c r="M772" s="257">
        <f>SUM(M773)</f>
        <v>2100000</v>
      </c>
      <c r="N772" s="266">
        <v>0</v>
      </c>
      <c r="O772" s="261"/>
      <c r="P772" s="266">
        <v>0</v>
      </c>
      <c r="Q772" s="257">
        <f>SUM(Q773)</f>
        <v>2100000</v>
      </c>
      <c r="R772" s="267" t="str">
        <f t="shared" si="115"/>
        <v/>
      </c>
      <c r="S772" s="257">
        <f>SUM(S773)</f>
        <v>0</v>
      </c>
      <c r="T772" s="257">
        <f>SUM(T773)</f>
        <v>0</v>
      </c>
      <c r="U772" s="257">
        <f>SUM(U773)</f>
        <v>2100000</v>
      </c>
      <c r="V772" s="257">
        <f>SUM(V773)</f>
        <v>0</v>
      </c>
    </row>
    <row r="773" spans="1:22" ht="27.95" hidden="1" customHeight="1">
      <c r="A773" s="260" t="s">
        <v>997</v>
      </c>
      <c r="B773" s="260" t="s">
        <v>1002</v>
      </c>
      <c r="C773" s="260" t="s">
        <v>1521</v>
      </c>
      <c r="D773" s="260" t="s">
        <v>363</v>
      </c>
      <c r="E773" s="260" t="s">
        <v>970</v>
      </c>
      <c r="F773" s="260" t="s">
        <v>970</v>
      </c>
      <c r="G773" s="260">
        <v>99</v>
      </c>
      <c r="H773" s="261" t="s">
        <v>533</v>
      </c>
      <c r="I773" s="230"/>
      <c r="J773" s="262">
        <v>84</v>
      </c>
      <c r="K773" s="263" t="s">
        <v>1096</v>
      </c>
      <c r="L773" s="264">
        <v>25000</v>
      </c>
      <c r="M773" s="265">
        <f>+J773*L773</f>
        <v>2100000</v>
      </c>
      <c r="N773" s="266">
        <v>84</v>
      </c>
      <c r="O773" s="261" t="s">
        <v>1096</v>
      </c>
      <c r="P773" s="266">
        <v>25000</v>
      </c>
      <c r="Q773" s="266">
        <f>+N773*P773</f>
        <v>2100000</v>
      </c>
      <c r="R773" s="267">
        <f t="shared" si="115"/>
        <v>1</v>
      </c>
      <c r="S773" s="266">
        <f>+IF(W773="DDS",Q773,0)</f>
        <v>0</v>
      </c>
      <c r="T773" s="266">
        <f>+IF(W773="ADD",Q773,0)</f>
        <v>0</v>
      </c>
      <c r="U773" s="266">
        <f>+IF(W773="DDS",0,IF(W773="ADD",0,Q773))</f>
        <v>2100000</v>
      </c>
      <c r="V773" s="266">
        <v>0</v>
      </c>
    </row>
    <row r="774" spans="1:22" ht="27.95" customHeight="1">
      <c r="A774" s="229" t="s">
        <v>1083</v>
      </c>
      <c r="B774" s="229" t="s">
        <v>959</v>
      </c>
      <c r="C774" s="229" t="s">
        <v>959</v>
      </c>
      <c r="D774" s="229"/>
      <c r="E774" s="229"/>
      <c r="F774" s="229"/>
      <c r="G774" s="229" t="s">
        <v>959</v>
      </c>
      <c r="H774" s="238" t="s">
        <v>1523</v>
      </c>
      <c r="I774" s="230"/>
      <c r="J774" s="231"/>
      <c r="K774" s="232"/>
      <c r="L774" s="237"/>
      <c r="M774" s="234">
        <f>M775+M805+M867+M876+M891</f>
        <v>117190000</v>
      </c>
      <c r="N774" s="266">
        <v>0</v>
      </c>
      <c r="O774" s="261"/>
      <c r="P774" s="266">
        <v>0</v>
      </c>
      <c r="Q774" s="234">
        <f>+Q775+Q805+Q876+Q891+Q867</f>
        <v>110260000</v>
      </c>
      <c r="R774" s="236">
        <f>Q774/M774*100%</f>
        <v>0.94086526154108707</v>
      </c>
      <c r="S774" s="234">
        <f>+S775+S805+S876+S891+S867</f>
        <v>0</v>
      </c>
      <c r="T774" s="234">
        <f>+T775+T805+T876+T891+T867</f>
        <v>0</v>
      </c>
      <c r="U774" s="234">
        <f>+U775+U805+U876+U891+U867</f>
        <v>110260000</v>
      </c>
      <c r="V774" s="234">
        <f>+V775+V805+V876+V891</f>
        <v>0</v>
      </c>
    </row>
    <row r="775" spans="1:22" ht="27.95" customHeight="1">
      <c r="A775" s="229">
        <v>4</v>
      </c>
      <c r="B775" s="270" t="s">
        <v>995</v>
      </c>
      <c r="C775" s="229" t="s">
        <v>959</v>
      </c>
      <c r="D775" s="229"/>
      <c r="E775" s="270"/>
      <c r="F775" s="229"/>
      <c r="G775" s="229" t="s">
        <v>959</v>
      </c>
      <c r="H775" s="238" t="s">
        <v>1524</v>
      </c>
      <c r="I775" s="230"/>
      <c r="J775" s="231"/>
      <c r="K775" s="232"/>
      <c r="L775" s="237"/>
      <c r="M775" s="234">
        <f>M776</f>
        <v>16000000</v>
      </c>
      <c r="N775" s="266"/>
      <c r="O775" s="261"/>
      <c r="P775" s="266"/>
      <c r="Q775" s="234">
        <f>Q776</f>
        <v>16000000</v>
      </c>
      <c r="R775" s="236">
        <f>Q775/M775*100%</f>
        <v>1</v>
      </c>
      <c r="S775" s="234">
        <f t="shared" ref="S775:V776" si="122">S776</f>
        <v>0</v>
      </c>
      <c r="T775" s="234">
        <f t="shared" si="122"/>
        <v>0</v>
      </c>
      <c r="U775" s="234">
        <f t="shared" si="122"/>
        <v>16000000</v>
      </c>
      <c r="V775" s="234">
        <f t="shared" si="122"/>
        <v>0</v>
      </c>
    </row>
    <row r="776" spans="1:22" ht="27.95" customHeight="1">
      <c r="A776" s="229" t="s">
        <v>1083</v>
      </c>
      <c r="B776" s="270" t="s">
        <v>995</v>
      </c>
      <c r="C776" s="270" t="s">
        <v>963</v>
      </c>
      <c r="D776" s="229"/>
      <c r="E776" s="270"/>
      <c r="F776" s="270"/>
      <c r="G776" s="229" t="s">
        <v>959</v>
      </c>
      <c r="H776" s="238" t="s">
        <v>1525</v>
      </c>
      <c r="I776" s="230" t="s">
        <v>1526</v>
      </c>
      <c r="J776" s="239"/>
      <c r="K776" s="240">
        <v>2</v>
      </c>
      <c r="L776" s="241" t="s">
        <v>1538</v>
      </c>
      <c r="M776" s="234">
        <f>M777</f>
        <v>16000000</v>
      </c>
      <c r="N776" s="266"/>
      <c r="O776" s="240">
        <v>1</v>
      </c>
      <c r="P776" s="241" t="s">
        <v>1538</v>
      </c>
      <c r="Q776" s="234">
        <f>Q777</f>
        <v>16000000</v>
      </c>
      <c r="R776" s="236">
        <f>Q776/M776*100%</f>
        <v>1</v>
      </c>
      <c r="S776" s="234">
        <f t="shared" si="122"/>
        <v>0</v>
      </c>
      <c r="T776" s="234">
        <f t="shared" si="122"/>
        <v>0</v>
      </c>
      <c r="U776" s="234">
        <f t="shared" si="122"/>
        <v>16000000</v>
      </c>
      <c r="V776" s="234">
        <f t="shared" si="122"/>
        <v>0</v>
      </c>
    </row>
    <row r="777" spans="1:22" ht="27.95" hidden="1" customHeight="1">
      <c r="A777" s="229" t="s">
        <v>1083</v>
      </c>
      <c r="B777" s="270" t="s">
        <v>995</v>
      </c>
      <c r="C777" s="270" t="s">
        <v>963</v>
      </c>
      <c r="D777" s="244" t="s">
        <v>363</v>
      </c>
      <c r="E777" s="282" t="s">
        <v>995</v>
      </c>
      <c r="F777" s="282" t="s">
        <v>963</v>
      </c>
      <c r="G777" s="244" t="s">
        <v>959</v>
      </c>
      <c r="H777" s="245" t="s">
        <v>1026</v>
      </c>
      <c r="I777" s="230"/>
      <c r="J777" s="246"/>
      <c r="K777" s="247"/>
      <c r="L777" s="248"/>
      <c r="M777" s="249">
        <f>M778+M794+M801</f>
        <v>16000000</v>
      </c>
      <c r="N777" s="266"/>
      <c r="O777" s="261"/>
      <c r="P777" s="266"/>
      <c r="Q777" s="249">
        <f>Q778+Q794+Q801</f>
        <v>16000000</v>
      </c>
      <c r="R777" s="267"/>
      <c r="S777" s="249">
        <f>S778+S794+S801</f>
        <v>0</v>
      </c>
      <c r="T777" s="249">
        <f>T778+T794+T801</f>
        <v>0</v>
      </c>
      <c r="U777" s="249">
        <f>U778+U794+U801</f>
        <v>16000000</v>
      </c>
      <c r="V777" s="249">
        <f>V778+V794+V801</f>
        <v>0</v>
      </c>
    </row>
    <row r="778" spans="1:22" ht="27.95" hidden="1" customHeight="1">
      <c r="A778" s="229" t="s">
        <v>1083</v>
      </c>
      <c r="B778" s="270" t="s">
        <v>995</v>
      </c>
      <c r="C778" s="270" t="s">
        <v>963</v>
      </c>
      <c r="D778" s="252">
        <v>5</v>
      </c>
      <c r="E778" s="252">
        <v>2</v>
      </c>
      <c r="F778" s="252">
        <v>1</v>
      </c>
      <c r="G778" s="252"/>
      <c r="H778" s="253" t="s">
        <v>1527</v>
      </c>
      <c r="I778" s="230"/>
      <c r="J778" s="246"/>
      <c r="K778" s="247"/>
      <c r="L778" s="248"/>
      <c r="M778" s="257">
        <f>SUM(M780:M793)</f>
        <v>9580000</v>
      </c>
      <c r="N778" s="266"/>
      <c r="O778" s="261"/>
      <c r="P778" s="266"/>
      <c r="Q778" s="257">
        <f>SUM(Q780:Q793)</f>
        <v>9580000</v>
      </c>
      <c r="R778" s="267"/>
      <c r="S778" s="257">
        <f>SUM(S780:S793)</f>
        <v>0</v>
      </c>
      <c r="T778" s="257">
        <f>SUM(T780:T793)</f>
        <v>0</v>
      </c>
      <c r="U778" s="257">
        <f>SUM(U780:U793)</f>
        <v>9580000</v>
      </c>
      <c r="V778" s="257">
        <f>SUM(V780:V793)</f>
        <v>0</v>
      </c>
    </row>
    <row r="779" spans="1:22" ht="27.95" hidden="1" customHeight="1">
      <c r="A779" s="229" t="s">
        <v>1083</v>
      </c>
      <c r="B779" s="270" t="s">
        <v>995</v>
      </c>
      <c r="C779" s="270" t="s">
        <v>963</v>
      </c>
      <c r="D779" s="244">
        <v>5</v>
      </c>
      <c r="E779" s="244">
        <v>2</v>
      </c>
      <c r="F779" s="244">
        <v>1</v>
      </c>
      <c r="G779" s="282" t="s">
        <v>960</v>
      </c>
      <c r="H779" s="245" t="s">
        <v>1490</v>
      </c>
      <c r="I779" s="230"/>
      <c r="J779" s="246"/>
      <c r="K779" s="247"/>
      <c r="L779" s="248"/>
      <c r="M779" s="265"/>
      <c r="N779" s="266"/>
      <c r="O779" s="261"/>
      <c r="P779" s="266"/>
      <c r="Q779" s="234"/>
      <c r="R779" s="267"/>
      <c r="S779" s="234"/>
      <c r="T779" s="234"/>
      <c r="U779" s="234"/>
      <c r="V779" s="234"/>
    </row>
    <row r="780" spans="1:22" ht="27.95" hidden="1" customHeight="1">
      <c r="A780" s="229"/>
      <c r="B780" s="229"/>
      <c r="C780" s="229"/>
      <c r="D780" s="244"/>
      <c r="E780" s="244"/>
      <c r="F780" s="244"/>
      <c r="G780" s="282"/>
      <c r="H780" s="294" t="s">
        <v>1528</v>
      </c>
      <c r="I780" s="230"/>
      <c r="J780" s="246">
        <v>1</v>
      </c>
      <c r="K780" s="247" t="s">
        <v>1103</v>
      </c>
      <c r="L780" s="248">
        <v>150000</v>
      </c>
      <c r="M780" s="265">
        <f>+J780*L780</f>
        <v>150000</v>
      </c>
      <c r="N780" s="246">
        <v>1</v>
      </c>
      <c r="O780" s="247" t="s">
        <v>1103</v>
      </c>
      <c r="P780" s="248">
        <v>150000</v>
      </c>
      <c r="Q780" s="265">
        <f>+N780*P780</f>
        <v>150000</v>
      </c>
      <c r="R780" s="267">
        <f>IF(J780="","",Q780/M780)</f>
        <v>1</v>
      </c>
      <c r="S780" s="266">
        <f>+IF(W780="DDS",Q780,0)</f>
        <v>0</v>
      </c>
      <c r="T780" s="266">
        <f>+IF(W780="ADD",Q780,0)</f>
        <v>0</v>
      </c>
      <c r="U780" s="266">
        <f>+IF(W780="DDS",0,IF(W780="ADD",0,Q780))</f>
        <v>150000</v>
      </c>
      <c r="V780" s="266">
        <v>0</v>
      </c>
    </row>
    <row r="781" spans="1:22" ht="27.95" hidden="1" customHeight="1">
      <c r="A781" s="229"/>
      <c r="B781" s="229"/>
      <c r="C781" s="229"/>
      <c r="D781" s="244"/>
      <c r="E781" s="244"/>
      <c r="F781" s="244"/>
      <c r="G781" s="282"/>
      <c r="H781" s="294" t="s">
        <v>1529</v>
      </c>
      <c r="I781" s="230"/>
      <c r="J781" s="246">
        <v>1</v>
      </c>
      <c r="K781" s="247" t="s">
        <v>1103</v>
      </c>
      <c r="L781" s="248">
        <v>150000</v>
      </c>
      <c r="M781" s="265">
        <f>+J781*L781</f>
        <v>150000</v>
      </c>
      <c r="N781" s="246">
        <v>1</v>
      </c>
      <c r="O781" s="247" t="s">
        <v>1103</v>
      </c>
      <c r="P781" s="248">
        <v>150000</v>
      </c>
      <c r="Q781" s="265">
        <f>+N781*P781</f>
        <v>150000</v>
      </c>
      <c r="R781" s="267">
        <f>IF(J781="","",Q781/M781)</f>
        <v>1</v>
      </c>
      <c r="S781" s="266">
        <f>+IF(W781="DDS",Q781,0)</f>
        <v>0</v>
      </c>
      <c r="T781" s="266">
        <f>+IF(W781="ADD",Q781,0)</f>
        <v>0</v>
      </c>
      <c r="U781" s="266">
        <f>+IF(W781="DDS",0,IF(W781="ADD",0,Q781))</f>
        <v>150000</v>
      </c>
      <c r="V781" s="266">
        <v>0</v>
      </c>
    </row>
    <row r="782" spans="1:22" ht="27.95" hidden="1" customHeight="1">
      <c r="A782" s="229" t="s">
        <v>1083</v>
      </c>
      <c r="B782" s="270" t="s">
        <v>995</v>
      </c>
      <c r="C782" s="270" t="s">
        <v>963</v>
      </c>
      <c r="D782" s="244">
        <v>5</v>
      </c>
      <c r="E782" s="244">
        <v>2</v>
      </c>
      <c r="F782" s="244">
        <v>1</v>
      </c>
      <c r="G782" s="282" t="s">
        <v>1038</v>
      </c>
      <c r="H782" s="245" t="s">
        <v>1090</v>
      </c>
      <c r="I782" s="230"/>
      <c r="J782" s="246"/>
      <c r="K782" s="247"/>
      <c r="L782" s="248"/>
      <c r="M782" s="265"/>
      <c r="N782" s="246"/>
      <c r="O782" s="247"/>
      <c r="P782" s="248"/>
      <c r="Q782" s="265"/>
      <c r="R782" s="267"/>
      <c r="S782" s="234"/>
      <c r="T782" s="234"/>
      <c r="U782" s="234"/>
      <c r="V782" s="234"/>
    </row>
    <row r="783" spans="1:22" ht="27.95" hidden="1" customHeight="1">
      <c r="A783" s="229"/>
      <c r="B783" s="229"/>
      <c r="C783" s="229"/>
      <c r="D783" s="244"/>
      <c r="E783" s="244"/>
      <c r="F783" s="244"/>
      <c r="G783" s="282"/>
      <c r="H783" s="294" t="s">
        <v>1530</v>
      </c>
      <c r="I783" s="230"/>
      <c r="J783" s="246">
        <v>1</v>
      </c>
      <c r="K783" s="247" t="s">
        <v>1103</v>
      </c>
      <c r="L783" s="248">
        <v>300000</v>
      </c>
      <c r="M783" s="265">
        <f>+J783*L783</f>
        <v>300000</v>
      </c>
      <c r="N783" s="246">
        <v>1</v>
      </c>
      <c r="O783" s="247" t="s">
        <v>1103</v>
      </c>
      <c r="P783" s="248">
        <v>300000</v>
      </c>
      <c r="Q783" s="265">
        <f>+N783*P783</f>
        <v>300000</v>
      </c>
      <c r="R783" s="267">
        <f>IF(J783="","",Q783/M783)</f>
        <v>1</v>
      </c>
      <c r="S783" s="266">
        <f>+IF(W783="DDS",Q783,0)</f>
        <v>0</v>
      </c>
      <c r="T783" s="266">
        <f>+IF(W783="ADD",Q783,0)</f>
        <v>0</v>
      </c>
      <c r="U783" s="266">
        <f>+IF(W783="DDS",0,IF(W783="ADD",0,Q783))</f>
        <v>300000</v>
      </c>
      <c r="V783" s="266">
        <v>0</v>
      </c>
    </row>
    <row r="784" spans="1:22" ht="27.95" hidden="1" customHeight="1">
      <c r="A784" s="229"/>
      <c r="B784" s="229"/>
      <c r="C784" s="229"/>
      <c r="D784" s="244"/>
      <c r="E784" s="244"/>
      <c r="F784" s="244"/>
      <c r="G784" s="282"/>
      <c r="H784" s="294" t="s">
        <v>1531</v>
      </c>
      <c r="I784" s="230"/>
      <c r="J784" s="246">
        <v>1</v>
      </c>
      <c r="K784" s="247" t="s">
        <v>1103</v>
      </c>
      <c r="L784" s="248">
        <v>300000</v>
      </c>
      <c r="M784" s="265">
        <f>+J784*L784</f>
        <v>300000</v>
      </c>
      <c r="N784" s="246">
        <v>1</v>
      </c>
      <c r="O784" s="247" t="s">
        <v>1103</v>
      </c>
      <c r="P784" s="248">
        <v>300000</v>
      </c>
      <c r="Q784" s="265">
        <f>+N784*P784</f>
        <v>300000</v>
      </c>
      <c r="R784" s="267">
        <f>IF(J784="","",Q784/M784)</f>
        <v>1</v>
      </c>
      <c r="S784" s="266">
        <f>+IF(W784="DDS",Q784,0)</f>
        <v>0</v>
      </c>
      <c r="T784" s="266">
        <f>+IF(W784="ADD",Q784,0)</f>
        <v>0</v>
      </c>
      <c r="U784" s="266">
        <f>+IF(W784="DDS",0,IF(W784="ADD",0,Q784))</f>
        <v>300000</v>
      </c>
      <c r="V784" s="266">
        <v>0</v>
      </c>
    </row>
    <row r="785" spans="1:22" ht="27.95" hidden="1" customHeight="1">
      <c r="A785" s="229" t="s">
        <v>1083</v>
      </c>
      <c r="B785" s="270" t="s">
        <v>995</v>
      </c>
      <c r="C785" s="270" t="s">
        <v>963</v>
      </c>
      <c r="D785" s="244">
        <v>5</v>
      </c>
      <c r="E785" s="244">
        <v>2</v>
      </c>
      <c r="F785" s="244">
        <v>1</v>
      </c>
      <c r="G785" s="282" t="s">
        <v>1040</v>
      </c>
      <c r="H785" s="245" t="s">
        <v>1532</v>
      </c>
      <c r="I785" s="230"/>
      <c r="J785" s="246"/>
      <c r="K785" s="247"/>
      <c r="L785" s="248"/>
      <c r="M785" s="265"/>
      <c r="N785" s="246"/>
      <c r="O785" s="247"/>
      <c r="P785" s="248"/>
      <c r="Q785" s="265"/>
      <c r="R785" s="267"/>
      <c r="S785" s="234"/>
      <c r="T785" s="234"/>
      <c r="U785" s="234"/>
      <c r="V785" s="234"/>
    </row>
    <row r="786" spans="1:22" ht="27.95" hidden="1" customHeight="1">
      <c r="A786" s="229"/>
      <c r="B786" s="229"/>
      <c r="C786" s="229"/>
      <c r="D786" s="244"/>
      <c r="E786" s="244"/>
      <c r="F786" s="244"/>
      <c r="G786" s="282"/>
      <c r="H786" s="294" t="s">
        <v>1533</v>
      </c>
      <c r="I786" s="230"/>
      <c r="J786" s="246">
        <v>30</v>
      </c>
      <c r="K786" s="247" t="s">
        <v>1248</v>
      </c>
      <c r="L786" s="248">
        <v>35000</v>
      </c>
      <c r="M786" s="265">
        <f>+J786*L786</f>
        <v>1050000</v>
      </c>
      <c r="N786" s="246">
        <v>30</v>
      </c>
      <c r="O786" s="247" t="s">
        <v>1248</v>
      </c>
      <c r="P786" s="248">
        <v>35000</v>
      </c>
      <c r="Q786" s="265">
        <f>+N786*P786</f>
        <v>1050000</v>
      </c>
      <c r="R786" s="267">
        <f>IF(J786="","",Q786/M786)</f>
        <v>1</v>
      </c>
      <c r="S786" s="266">
        <f>+IF(W786="DDS",Q786,0)</f>
        <v>0</v>
      </c>
      <c r="T786" s="266">
        <f>+IF(W786="ADD",Q786,0)</f>
        <v>0</v>
      </c>
      <c r="U786" s="266">
        <f>+IF(W786="DDS",0,IF(W786="ADD",0,Q786))</f>
        <v>1050000</v>
      </c>
      <c r="V786" s="266">
        <v>0</v>
      </c>
    </row>
    <row r="787" spans="1:22" ht="27.95" hidden="1" customHeight="1">
      <c r="A787" s="229"/>
      <c r="B787" s="229"/>
      <c r="C787" s="229"/>
      <c r="D787" s="244"/>
      <c r="E787" s="244"/>
      <c r="F787" s="244"/>
      <c r="G787" s="282"/>
      <c r="H787" s="294" t="s">
        <v>1534</v>
      </c>
      <c r="I787" s="230"/>
      <c r="J787" s="246">
        <v>30</v>
      </c>
      <c r="K787" s="247" t="s">
        <v>1248</v>
      </c>
      <c r="L787" s="248">
        <v>35000</v>
      </c>
      <c r="M787" s="265">
        <f>+J787*L787</f>
        <v>1050000</v>
      </c>
      <c r="N787" s="246">
        <v>30</v>
      </c>
      <c r="O787" s="247" t="s">
        <v>1248</v>
      </c>
      <c r="P787" s="248">
        <v>35000</v>
      </c>
      <c r="Q787" s="265">
        <f>+N787*P787</f>
        <v>1050000</v>
      </c>
      <c r="R787" s="267">
        <f>IF(J787="","",Q787/M787)</f>
        <v>1</v>
      </c>
      <c r="S787" s="266">
        <f>+IF(W787="DDS",Q787,0)</f>
        <v>0</v>
      </c>
      <c r="T787" s="266">
        <f>+IF(W787="ADD",Q787,0)</f>
        <v>0</v>
      </c>
      <c r="U787" s="266">
        <f>+IF(W787="DDS",0,IF(W787="ADD",0,Q787))</f>
        <v>1050000</v>
      </c>
      <c r="V787" s="266">
        <v>0</v>
      </c>
    </row>
    <row r="788" spans="1:22" ht="27.95" hidden="1" customHeight="1">
      <c r="A788" s="229" t="s">
        <v>1083</v>
      </c>
      <c r="B788" s="270" t="s">
        <v>995</v>
      </c>
      <c r="C788" s="270" t="s">
        <v>963</v>
      </c>
      <c r="D788" s="244">
        <v>5</v>
      </c>
      <c r="E788" s="244">
        <v>2</v>
      </c>
      <c r="F788" s="244">
        <v>1</v>
      </c>
      <c r="G788" s="282">
        <v>99</v>
      </c>
      <c r="H788" s="245" t="s">
        <v>258</v>
      </c>
      <c r="I788" s="230"/>
      <c r="J788" s="246"/>
      <c r="K788" s="247"/>
      <c r="L788" s="248"/>
      <c r="M788" s="265"/>
      <c r="N788" s="246"/>
      <c r="O788" s="247"/>
      <c r="P788" s="248"/>
      <c r="Q788" s="265"/>
      <c r="R788" s="267"/>
      <c r="S788" s="234"/>
      <c r="T788" s="234"/>
      <c r="U788" s="234"/>
      <c r="V788" s="234"/>
    </row>
    <row r="789" spans="1:22" ht="27.95" hidden="1" customHeight="1">
      <c r="A789" s="229"/>
      <c r="B789" s="229"/>
      <c r="C789" s="229"/>
      <c r="D789" s="244"/>
      <c r="E789" s="244"/>
      <c r="F789" s="244"/>
      <c r="G789" s="282"/>
      <c r="H789" s="294" t="s">
        <v>1535</v>
      </c>
      <c r="I789" s="230"/>
      <c r="J789" s="246">
        <v>6</v>
      </c>
      <c r="K789" s="247" t="s">
        <v>1191</v>
      </c>
      <c r="L789" s="248">
        <v>25000</v>
      </c>
      <c r="M789" s="265">
        <f>+J789*L789</f>
        <v>150000</v>
      </c>
      <c r="N789" s="246">
        <v>6</v>
      </c>
      <c r="O789" s="247" t="s">
        <v>1191</v>
      </c>
      <c r="P789" s="248">
        <v>25000</v>
      </c>
      <c r="Q789" s="265">
        <f>+N789*P789</f>
        <v>150000</v>
      </c>
      <c r="R789" s="267">
        <f>IF(J789="","",Q789/M789)</f>
        <v>1</v>
      </c>
      <c r="S789" s="266">
        <f>+IF(W789="DDS",Q789,0)</f>
        <v>0</v>
      </c>
      <c r="T789" s="266">
        <f>+IF(W789="ADD",Q789,0)</f>
        <v>0</v>
      </c>
      <c r="U789" s="266">
        <f>+IF(W789="DDS",0,IF(W789="ADD",0,Q789))</f>
        <v>150000</v>
      </c>
      <c r="V789" s="266">
        <v>0</v>
      </c>
    </row>
    <row r="790" spans="1:22" ht="27.95" hidden="1" customHeight="1">
      <c r="A790" s="229"/>
      <c r="B790" s="229"/>
      <c r="C790" s="229"/>
      <c r="D790" s="244"/>
      <c r="E790" s="244"/>
      <c r="F790" s="244"/>
      <c r="G790" s="282"/>
      <c r="H790" s="294" t="s">
        <v>1536</v>
      </c>
      <c r="I790" s="230"/>
      <c r="J790" s="246">
        <v>6</v>
      </c>
      <c r="K790" s="247" t="s">
        <v>1191</v>
      </c>
      <c r="L790" s="248">
        <v>25000</v>
      </c>
      <c r="M790" s="265">
        <f>+J790*L790</f>
        <v>150000</v>
      </c>
      <c r="N790" s="246">
        <v>6</v>
      </c>
      <c r="O790" s="247" t="s">
        <v>1191</v>
      </c>
      <c r="P790" s="248">
        <v>25000</v>
      </c>
      <c r="Q790" s="265">
        <f>+N790*P790</f>
        <v>150000</v>
      </c>
      <c r="R790" s="267">
        <f>IF(J790="","",Q790/M790)</f>
        <v>1</v>
      </c>
      <c r="S790" s="266">
        <f>+IF(W790="DDS",Q790,0)</f>
        <v>0</v>
      </c>
      <c r="T790" s="266">
        <f>+IF(W790="ADD",Q790,0)</f>
        <v>0</v>
      </c>
      <c r="U790" s="266">
        <f>+IF(W790="DDS",0,IF(W790="ADD",0,Q790))</f>
        <v>150000</v>
      </c>
      <c r="V790" s="266">
        <v>0</v>
      </c>
    </row>
    <row r="791" spans="1:22" ht="27.95" hidden="1" customHeight="1">
      <c r="A791" s="229"/>
      <c r="B791" s="229"/>
      <c r="C791" s="229"/>
      <c r="D791" s="244"/>
      <c r="E791" s="244"/>
      <c r="F791" s="244"/>
      <c r="G791" s="282"/>
      <c r="H791" s="294" t="s">
        <v>1537</v>
      </c>
      <c r="I791" s="230"/>
      <c r="J791" s="246">
        <v>27</v>
      </c>
      <c r="K791" s="247" t="s">
        <v>1538</v>
      </c>
      <c r="L791" s="248">
        <v>100000</v>
      </c>
      <c r="M791" s="265">
        <f>+J791*L791</f>
        <v>2700000</v>
      </c>
      <c r="N791" s="246">
        <v>27</v>
      </c>
      <c r="O791" s="247" t="s">
        <v>1538</v>
      </c>
      <c r="P791" s="248">
        <v>100000</v>
      </c>
      <c r="Q791" s="265">
        <f>+N791*P791</f>
        <v>2700000</v>
      </c>
      <c r="R791" s="267">
        <f>IF(J791="","",Q791/M791)</f>
        <v>1</v>
      </c>
      <c r="S791" s="266">
        <f>+IF(W791="DDS",Q791,0)</f>
        <v>0</v>
      </c>
      <c r="T791" s="266">
        <f>+IF(W791="ADD",Q791,0)</f>
        <v>0</v>
      </c>
      <c r="U791" s="266">
        <f>+IF(W791="DDS",0,IF(W791="ADD",0,Q791))</f>
        <v>2700000</v>
      </c>
      <c r="V791" s="266">
        <v>0</v>
      </c>
    </row>
    <row r="792" spans="1:22" ht="27.95" hidden="1" customHeight="1">
      <c r="A792" s="229"/>
      <c r="B792" s="229"/>
      <c r="C792" s="229"/>
      <c r="D792" s="244"/>
      <c r="E792" s="244"/>
      <c r="F792" s="244"/>
      <c r="G792" s="282"/>
      <c r="H792" s="294" t="s">
        <v>1537</v>
      </c>
      <c r="I792" s="230"/>
      <c r="J792" s="246">
        <v>27</v>
      </c>
      <c r="K792" s="247" t="s">
        <v>1538</v>
      </c>
      <c r="L792" s="248">
        <v>100000</v>
      </c>
      <c r="M792" s="265">
        <f>+J792*L792</f>
        <v>2700000</v>
      </c>
      <c r="N792" s="246">
        <v>27</v>
      </c>
      <c r="O792" s="247" t="s">
        <v>1538</v>
      </c>
      <c r="P792" s="248">
        <v>100000</v>
      </c>
      <c r="Q792" s="265">
        <f>+N792*P792</f>
        <v>2700000</v>
      </c>
      <c r="R792" s="267">
        <f>IF(J792="","",Q792/M792)</f>
        <v>1</v>
      </c>
      <c r="S792" s="266">
        <f>+IF(W792="DDS",Q792,0)</f>
        <v>0</v>
      </c>
      <c r="T792" s="266">
        <f>+IF(W792="ADD",Q792,0)</f>
        <v>0</v>
      </c>
      <c r="U792" s="266">
        <f>+IF(W792="DDS",0,IF(W792="ADD",0,Q792))</f>
        <v>2700000</v>
      </c>
      <c r="V792" s="266">
        <v>0</v>
      </c>
    </row>
    <row r="793" spans="1:22" ht="27.95" hidden="1" customHeight="1">
      <c r="A793" s="229"/>
      <c r="B793" s="229"/>
      <c r="C793" s="229"/>
      <c r="D793" s="244"/>
      <c r="E793" s="244"/>
      <c r="F793" s="244"/>
      <c r="G793" s="282"/>
      <c r="H793" s="294" t="s">
        <v>1539</v>
      </c>
      <c r="I793" s="230"/>
      <c r="J793" s="246">
        <v>1</v>
      </c>
      <c r="K793" s="247" t="s">
        <v>1029</v>
      </c>
      <c r="L793" s="248">
        <v>880000</v>
      </c>
      <c r="M793" s="265">
        <f>+J793*L793</f>
        <v>880000</v>
      </c>
      <c r="N793" s="246">
        <v>1</v>
      </c>
      <c r="O793" s="247" t="s">
        <v>1029</v>
      </c>
      <c r="P793" s="248">
        <v>880000</v>
      </c>
      <c r="Q793" s="265">
        <f>+N793*P793</f>
        <v>880000</v>
      </c>
      <c r="R793" s="267">
        <f>IF(J793="","",Q793/M793)</f>
        <v>1</v>
      </c>
      <c r="S793" s="266">
        <f>+IF(W793="DDS",Q793,0)</f>
        <v>0</v>
      </c>
      <c r="T793" s="266">
        <f>+IF(W793="ADD",Q793,0)</f>
        <v>0</v>
      </c>
      <c r="U793" s="266">
        <f>+IF(W793="DDS",0,IF(W793="ADD",0,Q793))</f>
        <v>880000</v>
      </c>
      <c r="V793" s="266">
        <v>0</v>
      </c>
    </row>
    <row r="794" spans="1:22" ht="27.95" hidden="1" customHeight="1">
      <c r="A794" s="229" t="s">
        <v>1083</v>
      </c>
      <c r="B794" s="270" t="s">
        <v>995</v>
      </c>
      <c r="C794" s="270" t="s">
        <v>963</v>
      </c>
      <c r="D794" s="252">
        <v>5</v>
      </c>
      <c r="E794" s="252">
        <v>2</v>
      </c>
      <c r="F794" s="252">
        <v>2</v>
      </c>
      <c r="G794" s="277"/>
      <c r="H794" s="283" t="s">
        <v>135</v>
      </c>
      <c r="I794" s="230"/>
      <c r="J794" s="254"/>
      <c r="K794" s="255"/>
      <c r="L794" s="256"/>
      <c r="M794" s="234">
        <f>SUM(M795:M800)</f>
        <v>5220000</v>
      </c>
      <c r="N794" s="266"/>
      <c r="O794" s="261"/>
      <c r="P794" s="266"/>
      <c r="Q794" s="234">
        <f>SUM(Q795:Q800)</f>
        <v>5220000</v>
      </c>
      <c r="R794" s="267"/>
      <c r="S794" s="234">
        <f>SUM(S795:S800)</f>
        <v>0</v>
      </c>
      <c r="T794" s="234">
        <f>SUM(T795:T800)</f>
        <v>0</v>
      </c>
      <c r="U794" s="234">
        <f>SUM(U795:U800)</f>
        <v>5220000</v>
      </c>
      <c r="V794" s="234">
        <f>SUM(V795:V800)</f>
        <v>0</v>
      </c>
    </row>
    <row r="795" spans="1:22" ht="27.95" hidden="1" customHeight="1">
      <c r="A795" s="229" t="s">
        <v>1083</v>
      </c>
      <c r="B795" s="270" t="s">
        <v>995</v>
      </c>
      <c r="C795" s="270" t="s">
        <v>963</v>
      </c>
      <c r="D795" s="260" t="s">
        <v>363</v>
      </c>
      <c r="E795" s="260" t="s">
        <v>970</v>
      </c>
      <c r="F795" s="260" t="s">
        <v>970</v>
      </c>
      <c r="G795" s="260" t="s">
        <v>1002</v>
      </c>
      <c r="H795" s="261" t="s">
        <v>1374</v>
      </c>
      <c r="I795" s="230"/>
      <c r="J795" s="262"/>
      <c r="K795" s="263"/>
      <c r="L795" s="264"/>
      <c r="M795" s="265"/>
      <c r="N795" s="266"/>
      <c r="O795" s="261"/>
      <c r="P795" s="266"/>
      <c r="Q795" s="234"/>
      <c r="R795" s="267"/>
      <c r="S795" s="234"/>
      <c r="T795" s="234"/>
      <c r="U795" s="234"/>
      <c r="V795" s="234"/>
    </row>
    <row r="796" spans="1:22" ht="27.95" hidden="1" customHeight="1">
      <c r="A796" s="229"/>
      <c r="B796" s="229"/>
      <c r="C796" s="229"/>
      <c r="D796" s="244"/>
      <c r="E796" s="244"/>
      <c r="F796" s="244"/>
      <c r="G796" s="282"/>
      <c r="H796" s="294" t="s">
        <v>1540</v>
      </c>
      <c r="I796" s="230"/>
      <c r="J796" s="246">
        <v>6</v>
      </c>
      <c r="K796" s="247" t="s">
        <v>1199</v>
      </c>
      <c r="L796" s="248">
        <v>300000</v>
      </c>
      <c r="M796" s="265">
        <f>+J796*L796</f>
        <v>1800000</v>
      </c>
      <c r="N796" s="246">
        <v>6</v>
      </c>
      <c r="O796" s="247" t="s">
        <v>1199</v>
      </c>
      <c r="P796" s="248">
        <v>300000</v>
      </c>
      <c r="Q796" s="265">
        <f>+N796*P796</f>
        <v>1800000</v>
      </c>
      <c r="R796" s="267">
        <f>IF(J796="","",Q796/M796)</f>
        <v>1</v>
      </c>
      <c r="S796" s="266">
        <f>+IF(W796="DDS",Q796,0)</f>
        <v>0</v>
      </c>
      <c r="T796" s="266">
        <f>+IF(W796="ADD",Q796,0)</f>
        <v>0</v>
      </c>
      <c r="U796" s="266">
        <f>+IF(W796="DDS",0,IF(W796="ADD",0,Q796))</f>
        <v>1800000</v>
      </c>
      <c r="V796" s="266">
        <v>0</v>
      </c>
    </row>
    <row r="797" spans="1:22" ht="27.95" hidden="1" customHeight="1">
      <c r="A797" s="229"/>
      <c r="B797" s="229"/>
      <c r="C797" s="229"/>
      <c r="D797" s="244"/>
      <c r="E797" s="244"/>
      <c r="F797" s="244"/>
      <c r="G797" s="282"/>
      <c r="H797" s="294" t="s">
        <v>1541</v>
      </c>
      <c r="I797" s="230"/>
      <c r="J797" s="246">
        <v>6</v>
      </c>
      <c r="K797" s="247" t="s">
        <v>1199</v>
      </c>
      <c r="L797" s="248">
        <v>300000</v>
      </c>
      <c r="M797" s="265">
        <f>+J797*L797</f>
        <v>1800000</v>
      </c>
      <c r="N797" s="246">
        <v>6</v>
      </c>
      <c r="O797" s="247" t="s">
        <v>1199</v>
      </c>
      <c r="P797" s="248">
        <v>300000</v>
      </c>
      <c r="Q797" s="265">
        <f>+N797*P797</f>
        <v>1800000</v>
      </c>
      <c r="R797" s="267">
        <f>IF(J797="","",Q797/M797)</f>
        <v>1</v>
      </c>
      <c r="S797" s="266">
        <f>+IF(W797="DDS",Q797,0)</f>
        <v>0</v>
      </c>
      <c r="T797" s="266">
        <f>+IF(W797="ADD",Q797,0)</f>
        <v>0</v>
      </c>
      <c r="U797" s="266">
        <f>+IF(W797="DDS",0,IF(W797="ADD",0,Q797))</f>
        <v>1800000</v>
      </c>
      <c r="V797" s="266">
        <v>0</v>
      </c>
    </row>
    <row r="798" spans="1:22" ht="27.95" hidden="1" customHeight="1">
      <c r="A798" s="229" t="s">
        <v>1083</v>
      </c>
      <c r="B798" s="270" t="s">
        <v>995</v>
      </c>
      <c r="C798" s="270" t="s">
        <v>963</v>
      </c>
      <c r="D798" s="260" t="s">
        <v>363</v>
      </c>
      <c r="E798" s="260" t="s">
        <v>970</v>
      </c>
      <c r="F798" s="260" t="s">
        <v>970</v>
      </c>
      <c r="G798" s="269" t="s">
        <v>1043</v>
      </c>
      <c r="H798" s="261" t="s">
        <v>1542</v>
      </c>
      <c r="I798" s="230"/>
      <c r="J798" s="262"/>
      <c r="K798" s="263"/>
      <c r="L798" s="264"/>
      <c r="M798" s="265"/>
      <c r="N798" s="262"/>
      <c r="O798" s="263"/>
      <c r="P798" s="264"/>
      <c r="Q798" s="265"/>
      <c r="R798" s="267"/>
      <c r="S798" s="234"/>
      <c r="T798" s="234"/>
      <c r="U798" s="234"/>
      <c r="V798" s="234"/>
    </row>
    <row r="799" spans="1:22" ht="27.95" hidden="1" customHeight="1">
      <c r="A799" s="229"/>
      <c r="B799" s="229"/>
      <c r="C799" s="229"/>
      <c r="D799" s="244"/>
      <c r="E799" s="244"/>
      <c r="F799" s="244"/>
      <c r="G799" s="282"/>
      <c r="H799" s="294" t="s">
        <v>1543</v>
      </c>
      <c r="I799" s="230"/>
      <c r="J799" s="246">
        <v>27</v>
      </c>
      <c r="K799" s="247" t="s">
        <v>1511</v>
      </c>
      <c r="L799" s="248">
        <v>30000</v>
      </c>
      <c r="M799" s="265">
        <f>+J799*L799</f>
        <v>810000</v>
      </c>
      <c r="N799" s="246">
        <v>27</v>
      </c>
      <c r="O799" s="247" t="s">
        <v>1511</v>
      </c>
      <c r="P799" s="248">
        <v>30000</v>
      </c>
      <c r="Q799" s="265">
        <f>+N799*P799</f>
        <v>810000</v>
      </c>
      <c r="R799" s="267">
        <f>IF(J799="","",Q799/M799)</f>
        <v>1</v>
      </c>
      <c r="S799" s="266">
        <f>+IF(W799="DDS",Q799,0)</f>
        <v>0</v>
      </c>
      <c r="T799" s="266">
        <f>+IF(W799="ADD",Q799,0)</f>
        <v>0</v>
      </c>
      <c r="U799" s="266">
        <f>+IF(W799="DDS",0,IF(W799="ADD",0,Q799))</f>
        <v>810000</v>
      </c>
      <c r="V799" s="266">
        <v>0</v>
      </c>
    </row>
    <row r="800" spans="1:22" ht="27.95" hidden="1" customHeight="1">
      <c r="A800" s="229"/>
      <c r="B800" s="229"/>
      <c r="C800" s="229"/>
      <c r="D800" s="244"/>
      <c r="E800" s="244"/>
      <c r="F800" s="244"/>
      <c r="G800" s="282"/>
      <c r="H800" s="294" t="s">
        <v>1544</v>
      </c>
      <c r="I800" s="230"/>
      <c r="J800" s="246">
        <v>27</v>
      </c>
      <c r="K800" s="247" t="s">
        <v>1511</v>
      </c>
      <c r="L800" s="248">
        <v>30000</v>
      </c>
      <c r="M800" s="265">
        <f>+J800*L800</f>
        <v>810000</v>
      </c>
      <c r="N800" s="246">
        <v>27</v>
      </c>
      <c r="O800" s="247" t="s">
        <v>1511</v>
      </c>
      <c r="P800" s="248">
        <v>30000</v>
      </c>
      <c r="Q800" s="265">
        <f>+N800*P800</f>
        <v>810000</v>
      </c>
      <c r="R800" s="267">
        <f>IF(J800="","",Q800/M800)</f>
        <v>1</v>
      </c>
      <c r="S800" s="266">
        <f>+IF(W800="DDS",Q800,0)</f>
        <v>0</v>
      </c>
      <c r="T800" s="266">
        <f>+IF(W800="ADD",Q800,0)</f>
        <v>0</v>
      </c>
      <c r="U800" s="266">
        <f>+IF(W800="DDS",0,IF(W800="ADD",0,Q800))</f>
        <v>810000</v>
      </c>
      <c r="V800" s="266">
        <v>0</v>
      </c>
    </row>
    <row r="801" spans="1:22" ht="27.95" hidden="1" customHeight="1">
      <c r="A801" s="229" t="s">
        <v>1083</v>
      </c>
      <c r="B801" s="270" t="s">
        <v>995</v>
      </c>
      <c r="C801" s="270" t="s">
        <v>963</v>
      </c>
      <c r="D801" s="252">
        <v>5</v>
      </c>
      <c r="E801" s="252">
        <v>2</v>
      </c>
      <c r="F801" s="252">
        <v>4</v>
      </c>
      <c r="G801" s="277"/>
      <c r="H801" s="283" t="s">
        <v>1545</v>
      </c>
      <c r="I801" s="230"/>
      <c r="J801" s="254"/>
      <c r="K801" s="255"/>
      <c r="L801" s="256"/>
      <c r="M801" s="234">
        <f>SUM(M802:M804)</f>
        <v>1200000</v>
      </c>
      <c r="N801" s="266"/>
      <c r="O801" s="261"/>
      <c r="P801" s="266"/>
      <c r="Q801" s="234">
        <f>SUM(Q802:Q804)</f>
        <v>1200000</v>
      </c>
      <c r="R801" s="267"/>
      <c r="S801" s="234">
        <f>SUM(S802:S804)</f>
        <v>0</v>
      </c>
      <c r="T801" s="234">
        <f>SUM(T802:T804)</f>
        <v>0</v>
      </c>
      <c r="U801" s="234">
        <f>SUM(U802:U804)</f>
        <v>1200000</v>
      </c>
      <c r="V801" s="234">
        <f>SUM(V802:V804)</f>
        <v>0</v>
      </c>
    </row>
    <row r="802" spans="1:22" ht="27.95" hidden="1" customHeight="1">
      <c r="A802" s="229" t="s">
        <v>1083</v>
      </c>
      <c r="B802" s="270" t="s">
        <v>995</v>
      </c>
      <c r="C802" s="270" t="s">
        <v>963</v>
      </c>
      <c r="D802" s="244">
        <v>5</v>
      </c>
      <c r="E802" s="244">
        <v>2</v>
      </c>
      <c r="F802" s="244">
        <v>4</v>
      </c>
      <c r="G802" s="282" t="s">
        <v>960</v>
      </c>
      <c r="H802" s="294" t="s">
        <v>1546</v>
      </c>
      <c r="I802" s="230"/>
      <c r="J802" s="246"/>
      <c r="K802" s="247"/>
      <c r="L802" s="248"/>
      <c r="M802" s="265">
        <v>0</v>
      </c>
      <c r="N802" s="266"/>
      <c r="O802" s="261"/>
      <c r="P802" s="266"/>
      <c r="Q802" s="234"/>
      <c r="R802" s="267"/>
      <c r="S802" s="234"/>
      <c r="T802" s="234"/>
      <c r="U802" s="234"/>
      <c r="V802" s="234"/>
    </row>
    <row r="803" spans="1:22" ht="27.95" hidden="1" customHeight="1">
      <c r="A803" s="229"/>
      <c r="B803" s="229"/>
      <c r="C803" s="229"/>
      <c r="D803" s="244"/>
      <c r="E803" s="244"/>
      <c r="F803" s="244"/>
      <c r="G803" s="282"/>
      <c r="H803" s="294" t="s">
        <v>1547</v>
      </c>
      <c r="I803" s="230"/>
      <c r="J803" s="246">
        <v>1</v>
      </c>
      <c r="K803" s="247" t="s">
        <v>1059</v>
      </c>
      <c r="L803" s="248">
        <v>600000</v>
      </c>
      <c r="M803" s="265">
        <f>+J803*L803</f>
        <v>600000</v>
      </c>
      <c r="N803" s="246">
        <v>1</v>
      </c>
      <c r="O803" s="247" t="s">
        <v>1059</v>
      </c>
      <c r="P803" s="248">
        <v>600000</v>
      </c>
      <c r="Q803" s="265">
        <f>+N803*P803</f>
        <v>600000</v>
      </c>
      <c r="R803" s="267">
        <f t="shared" ref="R803:R848" si="123">IF(J803="","",Q803/M803)</f>
        <v>1</v>
      </c>
      <c r="S803" s="266">
        <f>+IF(W803="DDS",Q803,0)</f>
        <v>0</v>
      </c>
      <c r="T803" s="266">
        <f>+IF(W803="ADD",Q803,0)</f>
        <v>0</v>
      </c>
      <c r="U803" s="266">
        <f>+IF(W803="DDS",0,IF(W803="ADD",0,Q803))</f>
        <v>600000</v>
      </c>
      <c r="V803" s="266">
        <v>0</v>
      </c>
    </row>
    <row r="804" spans="1:22" ht="27.95" hidden="1" customHeight="1">
      <c r="A804" s="229"/>
      <c r="B804" s="229"/>
      <c r="C804" s="229"/>
      <c r="D804" s="244"/>
      <c r="E804" s="244"/>
      <c r="F804" s="244"/>
      <c r="G804" s="282"/>
      <c r="H804" s="294" t="s">
        <v>1548</v>
      </c>
      <c r="I804" s="230"/>
      <c r="J804" s="246">
        <v>1</v>
      </c>
      <c r="K804" s="247" t="s">
        <v>1420</v>
      </c>
      <c r="L804" s="248">
        <v>600000</v>
      </c>
      <c r="M804" s="265">
        <f>+J804*L804</f>
        <v>600000</v>
      </c>
      <c r="N804" s="246">
        <v>1</v>
      </c>
      <c r="O804" s="247" t="s">
        <v>1420</v>
      </c>
      <c r="P804" s="248">
        <v>600000</v>
      </c>
      <c r="Q804" s="265">
        <f>+N804*P804</f>
        <v>600000</v>
      </c>
      <c r="R804" s="267">
        <f t="shared" si="123"/>
        <v>1</v>
      </c>
      <c r="S804" s="266">
        <f>+IF(W804="DDS",Q804,0)</f>
        <v>0</v>
      </c>
      <c r="T804" s="266">
        <f>+IF(W804="ADD",Q804,0)</f>
        <v>0</v>
      </c>
      <c r="U804" s="266">
        <f>+IF(W804="DDS",0,IF(W804="ADD",0,Q804))</f>
        <v>600000</v>
      </c>
      <c r="V804" s="266">
        <v>0</v>
      </c>
    </row>
    <row r="805" spans="1:22" ht="27.95" customHeight="1">
      <c r="A805" s="229" t="s">
        <v>1083</v>
      </c>
      <c r="B805" s="229" t="s">
        <v>1002</v>
      </c>
      <c r="C805" s="229" t="s">
        <v>959</v>
      </c>
      <c r="D805" s="229"/>
      <c r="E805" s="229"/>
      <c r="F805" s="229"/>
      <c r="G805" s="229" t="s">
        <v>959</v>
      </c>
      <c r="H805" s="238" t="s">
        <v>180</v>
      </c>
      <c r="I805" s="230"/>
      <c r="J805" s="231"/>
      <c r="K805" s="232"/>
      <c r="L805" s="237"/>
      <c r="M805" s="234">
        <f>M806+M845</f>
        <v>86440000</v>
      </c>
      <c r="N805" s="266">
        <v>0</v>
      </c>
      <c r="O805" s="261"/>
      <c r="P805" s="266">
        <v>0</v>
      </c>
      <c r="Q805" s="234">
        <f>Q806+Q845</f>
        <v>82245000</v>
      </c>
      <c r="R805" s="236">
        <f>Q805/M805*100%</f>
        <v>0.95146922720962512</v>
      </c>
      <c r="S805" s="234">
        <f>S806+S845</f>
        <v>0</v>
      </c>
      <c r="T805" s="234">
        <f>T806+T845</f>
        <v>0</v>
      </c>
      <c r="U805" s="234">
        <f>U806+U845</f>
        <v>82245000</v>
      </c>
      <c r="V805" s="234">
        <f>V806+V845</f>
        <v>0</v>
      </c>
    </row>
    <row r="806" spans="1:22" ht="27.95" customHeight="1">
      <c r="A806" s="229" t="s">
        <v>1083</v>
      </c>
      <c r="B806" s="229" t="s">
        <v>1002</v>
      </c>
      <c r="C806" s="229" t="s">
        <v>1496</v>
      </c>
      <c r="D806" s="229"/>
      <c r="E806" s="229"/>
      <c r="F806" s="229"/>
      <c r="G806" s="229"/>
      <c r="H806" s="238" t="s">
        <v>371</v>
      </c>
      <c r="I806" s="230" t="s">
        <v>1549</v>
      </c>
      <c r="J806" s="239"/>
      <c r="K806" s="240">
        <v>2</v>
      </c>
      <c r="L806" s="241" t="s">
        <v>1538</v>
      </c>
      <c r="M806" s="234">
        <f>+M807</f>
        <v>28090000</v>
      </c>
      <c r="N806" s="266">
        <v>0</v>
      </c>
      <c r="O806" s="240">
        <v>2</v>
      </c>
      <c r="P806" s="241" t="s">
        <v>1538</v>
      </c>
      <c r="Q806" s="234">
        <f>+Q807</f>
        <v>23895000</v>
      </c>
      <c r="R806" s="236">
        <f>Q806/M806*100%</f>
        <v>0.85065859736561056</v>
      </c>
      <c r="S806" s="234">
        <f>+S807</f>
        <v>0</v>
      </c>
      <c r="T806" s="234">
        <f>+T807</f>
        <v>0</v>
      </c>
      <c r="U806" s="234">
        <f>+U807</f>
        <v>23895000</v>
      </c>
      <c r="V806" s="234">
        <f>+V807</f>
        <v>0</v>
      </c>
    </row>
    <row r="807" spans="1:22" ht="27.95" hidden="1" customHeight="1">
      <c r="A807" s="260" t="s">
        <v>1083</v>
      </c>
      <c r="B807" s="260" t="s">
        <v>1002</v>
      </c>
      <c r="C807" s="260" t="s">
        <v>1496</v>
      </c>
      <c r="D807" s="244" t="s">
        <v>363</v>
      </c>
      <c r="E807" s="244" t="s">
        <v>970</v>
      </c>
      <c r="F807" s="244" t="s">
        <v>959</v>
      </c>
      <c r="G807" s="244" t="s">
        <v>959</v>
      </c>
      <c r="H807" s="245" t="s">
        <v>1026</v>
      </c>
      <c r="I807" s="238"/>
      <c r="J807" s="246"/>
      <c r="K807" s="247"/>
      <c r="L807" s="248"/>
      <c r="M807" s="249">
        <f>+M808+M815+M821+M818+M842</f>
        <v>28090000</v>
      </c>
      <c r="N807" s="266">
        <v>0</v>
      </c>
      <c r="O807" s="261"/>
      <c r="P807" s="266">
        <v>0</v>
      </c>
      <c r="Q807" s="249">
        <f>+Q808+Q815+Q821+Q818+Q842</f>
        <v>23895000</v>
      </c>
      <c r="R807" s="267" t="str">
        <f t="shared" si="123"/>
        <v/>
      </c>
      <c r="S807" s="249">
        <f>+S808+S815+S821+S818+S842</f>
        <v>0</v>
      </c>
      <c r="T807" s="249">
        <f>+T808+T815+T821+T818+T842</f>
        <v>0</v>
      </c>
      <c r="U807" s="249">
        <f>+U808+U815+U821+U818+U842</f>
        <v>23895000</v>
      </c>
      <c r="V807" s="249">
        <f>+V808+V815+V821+V818+V842</f>
        <v>0</v>
      </c>
    </row>
    <row r="808" spans="1:22" ht="27.95" hidden="1" customHeight="1">
      <c r="A808" s="229" t="s">
        <v>1083</v>
      </c>
      <c r="B808" s="229" t="s">
        <v>1002</v>
      </c>
      <c r="C808" s="229" t="s">
        <v>1496</v>
      </c>
      <c r="D808" s="252" t="s">
        <v>363</v>
      </c>
      <c r="E808" s="252" t="s">
        <v>970</v>
      </c>
      <c r="F808" s="252" t="s">
        <v>362</v>
      </c>
      <c r="G808" s="252" t="s">
        <v>959</v>
      </c>
      <c r="H808" s="253" t="s">
        <v>134</v>
      </c>
      <c r="I808" s="238"/>
      <c r="J808" s="254"/>
      <c r="K808" s="255"/>
      <c r="L808" s="256"/>
      <c r="M808" s="257">
        <f>+SUM(M809:M814)</f>
        <v>7350000</v>
      </c>
      <c r="N808" s="266">
        <v>0</v>
      </c>
      <c r="O808" s="261"/>
      <c r="P808" s="266">
        <v>0</v>
      </c>
      <c r="Q808" s="257">
        <f>+SUM(Q809:Q814)</f>
        <v>7300000</v>
      </c>
      <c r="R808" s="267" t="str">
        <f t="shared" si="123"/>
        <v/>
      </c>
      <c r="S808" s="257">
        <f>+SUM(S809:S814)</f>
        <v>0</v>
      </c>
      <c r="T808" s="257">
        <f>+SUM(T809:T814)</f>
        <v>0</v>
      </c>
      <c r="U808" s="257">
        <f>+SUM(U809:U814)</f>
        <v>7300000</v>
      </c>
      <c r="V808" s="257">
        <f>+SUM(V809:V814)</f>
        <v>0</v>
      </c>
    </row>
    <row r="809" spans="1:22" ht="27.95" hidden="1" customHeight="1">
      <c r="A809" s="260" t="s">
        <v>1083</v>
      </c>
      <c r="B809" s="260" t="s">
        <v>1002</v>
      </c>
      <c r="C809" s="260" t="s">
        <v>1496</v>
      </c>
      <c r="D809" s="260" t="s">
        <v>363</v>
      </c>
      <c r="E809" s="260" t="s">
        <v>970</v>
      </c>
      <c r="F809" s="260" t="s">
        <v>362</v>
      </c>
      <c r="G809" s="260" t="s">
        <v>960</v>
      </c>
      <c r="H809" s="261" t="s">
        <v>1027</v>
      </c>
      <c r="I809" s="238"/>
      <c r="J809" s="262">
        <v>1</v>
      </c>
      <c r="K809" s="263" t="s">
        <v>1029</v>
      </c>
      <c r="L809" s="264">
        <v>750000</v>
      </c>
      <c r="M809" s="265">
        <f>+J809*L809</f>
        <v>750000</v>
      </c>
      <c r="N809" s="262">
        <v>1</v>
      </c>
      <c r="O809" s="263" t="s">
        <v>1029</v>
      </c>
      <c r="P809" s="264">
        <v>700000</v>
      </c>
      <c r="Q809" s="266">
        <f t="shared" ref="Q809:Q814" si="124">+N809*P809</f>
        <v>700000</v>
      </c>
      <c r="R809" s="267">
        <f t="shared" si="123"/>
        <v>0.93333333333333335</v>
      </c>
      <c r="S809" s="266">
        <f t="shared" ref="S809:S819" si="125">+IF(W809="DDS",Q809,0)</f>
        <v>0</v>
      </c>
      <c r="T809" s="266">
        <f t="shared" ref="T809:T819" si="126">+IF(W809="ADD",Q809,0)</f>
        <v>0</v>
      </c>
      <c r="U809" s="266">
        <f t="shared" ref="U809:U819" si="127">+IF(W809="DDS",0,IF(W809="ADD",0,Q809))</f>
        <v>700000</v>
      </c>
      <c r="V809" s="266">
        <v>0</v>
      </c>
    </row>
    <row r="810" spans="1:22" ht="27.95" hidden="1" customHeight="1">
      <c r="A810" s="260" t="s">
        <v>1083</v>
      </c>
      <c r="B810" s="260" t="s">
        <v>1002</v>
      </c>
      <c r="C810" s="260" t="s">
        <v>1496</v>
      </c>
      <c r="D810" s="260" t="s">
        <v>363</v>
      </c>
      <c r="E810" s="260" t="s">
        <v>970</v>
      </c>
      <c r="F810" s="260" t="s">
        <v>362</v>
      </c>
      <c r="G810" s="260" t="s">
        <v>1038</v>
      </c>
      <c r="H810" s="261" t="s">
        <v>1090</v>
      </c>
      <c r="I810" s="238"/>
      <c r="J810" s="262">
        <v>1</v>
      </c>
      <c r="K810" s="263" t="s">
        <v>1029</v>
      </c>
      <c r="L810" s="264">
        <v>450000</v>
      </c>
      <c r="M810" s="265">
        <f>+J810*L810</f>
        <v>450000</v>
      </c>
      <c r="N810" s="262">
        <v>1</v>
      </c>
      <c r="O810" s="263" t="s">
        <v>1029</v>
      </c>
      <c r="P810" s="264">
        <v>450000</v>
      </c>
      <c r="Q810" s="266">
        <f t="shared" si="124"/>
        <v>450000</v>
      </c>
      <c r="R810" s="267">
        <f t="shared" si="123"/>
        <v>1</v>
      </c>
      <c r="S810" s="266">
        <f>+IF(W810="DDS",Q810,0)</f>
        <v>0</v>
      </c>
      <c r="T810" s="266">
        <f>+IF(W810="ADD",Q810,0)</f>
        <v>0</v>
      </c>
      <c r="U810" s="266">
        <f>+IF(W810="DDS",0,IF(W810="ADD",0,Q810))</f>
        <v>450000</v>
      </c>
      <c r="V810" s="266">
        <v>0</v>
      </c>
    </row>
    <row r="811" spans="1:22" ht="27.95" hidden="1" customHeight="1">
      <c r="A811" s="260" t="s">
        <v>1083</v>
      </c>
      <c r="B811" s="260" t="s">
        <v>1002</v>
      </c>
      <c r="C811" s="260" t="s">
        <v>1496</v>
      </c>
      <c r="D811" s="260" t="s">
        <v>363</v>
      </c>
      <c r="E811" s="260" t="s">
        <v>970</v>
      </c>
      <c r="F811" s="260" t="s">
        <v>362</v>
      </c>
      <c r="G811" s="260" t="s">
        <v>1040</v>
      </c>
      <c r="H811" s="261" t="s">
        <v>252</v>
      </c>
      <c r="I811" s="238"/>
      <c r="J811" s="262"/>
      <c r="K811" s="263"/>
      <c r="L811" s="264"/>
      <c r="M811" s="265"/>
      <c r="N811" s="266">
        <v>0</v>
      </c>
      <c r="O811" s="261"/>
      <c r="P811" s="266">
        <v>0</v>
      </c>
      <c r="Q811" s="266">
        <f t="shared" si="124"/>
        <v>0</v>
      </c>
      <c r="R811" s="267" t="str">
        <f t="shared" si="123"/>
        <v/>
      </c>
      <c r="S811" s="266">
        <f t="shared" si="125"/>
        <v>0</v>
      </c>
      <c r="T811" s="266">
        <f t="shared" si="126"/>
        <v>0</v>
      </c>
      <c r="U811" s="266">
        <f t="shared" si="127"/>
        <v>0</v>
      </c>
      <c r="V811" s="266">
        <v>0</v>
      </c>
    </row>
    <row r="812" spans="1:22" ht="27.95" hidden="1" customHeight="1">
      <c r="A812" s="260"/>
      <c r="B812" s="260"/>
      <c r="C812" s="260"/>
      <c r="D812" s="260"/>
      <c r="E812" s="260"/>
      <c r="F812" s="260"/>
      <c r="G812" s="260"/>
      <c r="H812" s="268" t="s">
        <v>1550</v>
      </c>
      <c r="I812" s="238"/>
      <c r="J812" s="262">
        <v>30</v>
      </c>
      <c r="K812" s="263" t="s">
        <v>1042</v>
      </c>
      <c r="L812" s="264">
        <v>35000</v>
      </c>
      <c r="M812" s="265">
        <f>+J812*L812</f>
        <v>1050000</v>
      </c>
      <c r="N812" s="262">
        <v>30</v>
      </c>
      <c r="O812" s="263" t="s">
        <v>1042</v>
      </c>
      <c r="P812" s="264">
        <v>35000</v>
      </c>
      <c r="Q812" s="266">
        <f t="shared" si="124"/>
        <v>1050000</v>
      </c>
      <c r="R812" s="267">
        <f t="shared" si="123"/>
        <v>1</v>
      </c>
      <c r="S812" s="266">
        <f>+IF(W812="DDS",Q812,0)</f>
        <v>0</v>
      </c>
      <c r="T812" s="266">
        <f>+IF(W812="ADD",Q812,0)</f>
        <v>0</v>
      </c>
      <c r="U812" s="266">
        <f>+IF(W812="DDS",0,IF(W812="ADD",0,Q812))</f>
        <v>1050000</v>
      </c>
      <c r="V812" s="266">
        <v>0</v>
      </c>
    </row>
    <row r="813" spans="1:22" ht="27.95" hidden="1" customHeight="1">
      <c r="A813" s="260"/>
      <c r="B813" s="260"/>
      <c r="C813" s="260"/>
      <c r="D813" s="260"/>
      <c r="E813" s="260"/>
      <c r="F813" s="260"/>
      <c r="G813" s="260"/>
      <c r="H813" s="268" t="s">
        <v>1551</v>
      </c>
      <c r="I813" s="238"/>
      <c r="J813" s="262">
        <v>90</v>
      </c>
      <c r="K813" s="263" t="s">
        <v>1042</v>
      </c>
      <c r="L813" s="264">
        <v>10000</v>
      </c>
      <c r="M813" s="265">
        <f>+J813*L813</f>
        <v>900000</v>
      </c>
      <c r="N813" s="262">
        <v>90</v>
      </c>
      <c r="O813" s="263" t="s">
        <v>1042</v>
      </c>
      <c r="P813" s="264">
        <v>10000</v>
      </c>
      <c r="Q813" s="266">
        <f t="shared" si="124"/>
        <v>900000</v>
      </c>
      <c r="R813" s="267">
        <f t="shared" si="123"/>
        <v>1</v>
      </c>
      <c r="S813" s="266">
        <f>+IF(W813="DDS",Q813,0)</f>
        <v>0</v>
      </c>
      <c r="T813" s="266">
        <f>+IF(W813="ADD",Q813,0)</f>
        <v>0</v>
      </c>
      <c r="U813" s="266">
        <f>+IF(W813="DDS",0,IF(W813="ADD",0,Q813))</f>
        <v>900000</v>
      </c>
      <c r="V813" s="266">
        <v>0</v>
      </c>
    </row>
    <row r="814" spans="1:22" ht="27.95" hidden="1" customHeight="1">
      <c r="A814" s="252"/>
      <c r="B814" s="252"/>
      <c r="C814" s="252"/>
      <c r="D814" s="260"/>
      <c r="E814" s="260"/>
      <c r="F814" s="260"/>
      <c r="G814" s="260"/>
      <c r="H814" s="268" t="s">
        <v>1552</v>
      </c>
      <c r="I814" s="238"/>
      <c r="J814" s="262">
        <v>120</v>
      </c>
      <c r="K814" s="263" t="s">
        <v>1042</v>
      </c>
      <c r="L814" s="264">
        <v>35000</v>
      </c>
      <c r="M814" s="265">
        <f>+J814*L814</f>
        <v>4200000</v>
      </c>
      <c r="N814" s="262">
        <v>120</v>
      </c>
      <c r="O814" s="263" t="s">
        <v>1042</v>
      </c>
      <c r="P814" s="264">
        <v>35000</v>
      </c>
      <c r="Q814" s="266">
        <f t="shared" si="124"/>
        <v>4200000</v>
      </c>
      <c r="R814" s="267">
        <f t="shared" si="123"/>
        <v>1</v>
      </c>
      <c r="S814" s="266">
        <f>+IF(W814="DDS",Q814,0)</f>
        <v>0</v>
      </c>
      <c r="T814" s="266">
        <f>+IF(W814="ADD",Q814,0)</f>
        <v>0</v>
      </c>
      <c r="U814" s="266">
        <f>+IF(W814="DDS",0,IF(W814="ADD",0,Q814))</f>
        <v>4200000</v>
      </c>
      <c r="V814" s="266">
        <v>0</v>
      </c>
    </row>
    <row r="815" spans="1:22" ht="27.95" hidden="1" customHeight="1">
      <c r="A815" s="229" t="s">
        <v>1083</v>
      </c>
      <c r="B815" s="229" t="s">
        <v>1002</v>
      </c>
      <c r="C815" s="229" t="s">
        <v>1496</v>
      </c>
      <c r="D815" s="252" t="s">
        <v>363</v>
      </c>
      <c r="E815" s="252" t="s">
        <v>970</v>
      </c>
      <c r="F815" s="252" t="s">
        <v>970</v>
      </c>
      <c r="G815" s="252" t="s">
        <v>959</v>
      </c>
      <c r="H815" s="253" t="s">
        <v>135</v>
      </c>
      <c r="I815" s="238"/>
      <c r="J815" s="254"/>
      <c r="K815" s="255"/>
      <c r="L815" s="256"/>
      <c r="M815" s="257">
        <f>+SUM(M817:M817)</f>
        <v>1575000</v>
      </c>
      <c r="N815" s="266">
        <v>0</v>
      </c>
      <c r="O815" s="261"/>
      <c r="P815" s="266">
        <v>0</v>
      </c>
      <c r="Q815" s="257">
        <f>+SUM(Q817:Q817)</f>
        <v>1575000</v>
      </c>
      <c r="R815" s="267" t="str">
        <f t="shared" si="123"/>
        <v/>
      </c>
      <c r="S815" s="266">
        <f t="shared" si="125"/>
        <v>0</v>
      </c>
      <c r="T815" s="266">
        <f t="shared" si="126"/>
        <v>0</v>
      </c>
      <c r="U815" s="266">
        <f t="shared" si="127"/>
        <v>1575000</v>
      </c>
      <c r="V815" s="266">
        <v>0</v>
      </c>
    </row>
    <row r="816" spans="1:22" ht="27.95" hidden="1" customHeight="1">
      <c r="A816" s="229" t="s">
        <v>1083</v>
      </c>
      <c r="B816" s="229" t="s">
        <v>1002</v>
      </c>
      <c r="C816" s="229" t="s">
        <v>1496</v>
      </c>
      <c r="D816" s="260" t="s">
        <v>363</v>
      </c>
      <c r="E816" s="260" t="s">
        <v>970</v>
      </c>
      <c r="F816" s="260" t="s">
        <v>970</v>
      </c>
      <c r="G816" s="260" t="s">
        <v>1002</v>
      </c>
      <c r="H816" s="261" t="s">
        <v>1374</v>
      </c>
      <c r="I816" s="238"/>
      <c r="J816" s="262"/>
      <c r="K816" s="263"/>
      <c r="L816" s="264"/>
      <c r="M816" s="265"/>
      <c r="N816" s="266">
        <v>0</v>
      </c>
      <c r="O816" s="261"/>
      <c r="P816" s="266">
        <v>0</v>
      </c>
      <c r="Q816" s="266">
        <f>+N816*P816</f>
        <v>0</v>
      </c>
      <c r="R816" s="267" t="str">
        <f t="shared" si="123"/>
        <v/>
      </c>
      <c r="S816" s="266">
        <f t="shared" si="125"/>
        <v>0</v>
      </c>
      <c r="T816" s="266">
        <f t="shared" si="126"/>
        <v>0</v>
      </c>
      <c r="U816" s="266">
        <f t="shared" si="127"/>
        <v>0</v>
      </c>
      <c r="V816" s="266">
        <v>0</v>
      </c>
    </row>
    <row r="817" spans="1:22" ht="27.95" hidden="1" customHeight="1">
      <c r="A817" s="260"/>
      <c r="B817" s="260"/>
      <c r="C817" s="260"/>
      <c r="D817" s="260"/>
      <c r="E817" s="260"/>
      <c r="F817" s="260"/>
      <c r="G817" s="260"/>
      <c r="H817" s="268" t="s">
        <v>1553</v>
      </c>
      <c r="I817" s="238"/>
      <c r="J817" s="262">
        <v>9</v>
      </c>
      <c r="K817" s="263" t="s">
        <v>1121</v>
      </c>
      <c r="L817" s="264">
        <v>175000</v>
      </c>
      <c r="M817" s="265">
        <f>+J817*L817</f>
        <v>1575000</v>
      </c>
      <c r="N817" s="262">
        <v>9</v>
      </c>
      <c r="O817" s="263" t="s">
        <v>1121</v>
      </c>
      <c r="P817" s="264">
        <v>175000</v>
      </c>
      <c r="Q817" s="266">
        <f>+N817*P817</f>
        <v>1575000</v>
      </c>
      <c r="R817" s="267">
        <f t="shared" si="123"/>
        <v>1</v>
      </c>
      <c r="S817" s="266">
        <f>+IF(W817="DDS",Q817,0)</f>
        <v>0</v>
      </c>
      <c r="T817" s="266">
        <f>+IF(W817="ADD",Q817,0)</f>
        <v>0</v>
      </c>
      <c r="U817" s="266">
        <f>+IF(W817="DDS",0,IF(W817="ADD",0,Q817))</f>
        <v>1575000</v>
      </c>
      <c r="V817" s="266">
        <v>0</v>
      </c>
    </row>
    <row r="818" spans="1:22" ht="27.95" hidden="1" customHeight="1">
      <c r="A818" s="229" t="s">
        <v>1083</v>
      </c>
      <c r="B818" s="229" t="s">
        <v>1002</v>
      </c>
      <c r="C818" s="229" t="s">
        <v>1496</v>
      </c>
      <c r="D818" s="252">
        <v>5</v>
      </c>
      <c r="E818" s="252">
        <v>2</v>
      </c>
      <c r="F818" s="252">
        <v>4</v>
      </c>
      <c r="G818" s="277"/>
      <c r="H818" s="283" t="s">
        <v>1545</v>
      </c>
      <c r="I818" s="238"/>
      <c r="J818" s="254"/>
      <c r="K818" s="255"/>
      <c r="L818" s="256"/>
      <c r="M818" s="234">
        <f>SUM(M819:M820)</f>
        <v>0</v>
      </c>
      <c r="N818" s="266">
        <v>0</v>
      </c>
      <c r="O818" s="261"/>
      <c r="P818" s="266">
        <v>0</v>
      </c>
      <c r="Q818" s="266">
        <f>+N818*P818</f>
        <v>0</v>
      </c>
      <c r="R818" s="267" t="str">
        <f t="shared" si="123"/>
        <v/>
      </c>
      <c r="S818" s="266">
        <f t="shared" si="125"/>
        <v>0</v>
      </c>
      <c r="T818" s="266">
        <f t="shared" si="126"/>
        <v>0</v>
      </c>
      <c r="U818" s="266">
        <f t="shared" si="127"/>
        <v>0</v>
      </c>
      <c r="V818" s="266">
        <v>0</v>
      </c>
    </row>
    <row r="819" spans="1:22" ht="27.95" hidden="1" customHeight="1">
      <c r="A819" s="252" t="s">
        <v>1083</v>
      </c>
      <c r="B819" s="252" t="s">
        <v>1002</v>
      </c>
      <c r="C819" s="252" t="s">
        <v>1496</v>
      </c>
      <c r="D819" s="244">
        <v>5</v>
      </c>
      <c r="E819" s="244">
        <v>2</v>
      </c>
      <c r="F819" s="244">
        <v>4</v>
      </c>
      <c r="G819" s="282" t="s">
        <v>963</v>
      </c>
      <c r="H819" s="294" t="s">
        <v>1554</v>
      </c>
      <c r="I819" s="238"/>
      <c r="J819" s="246"/>
      <c r="K819" s="247"/>
      <c r="L819" s="248"/>
      <c r="M819" s="265">
        <v>0</v>
      </c>
      <c r="N819" s="266">
        <v>0</v>
      </c>
      <c r="O819" s="261"/>
      <c r="P819" s="266">
        <v>0</v>
      </c>
      <c r="Q819" s="266">
        <f>+N819*P819</f>
        <v>0</v>
      </c>
      <c r="R819" s="267" t="str">
        <f t="shared" si="123"/>
        <v/>
      </c>
      <c r="S819" s="266">
        <f t="shared" si="125"/>
        <v>0</v>
      </c>
      <c r="T819" s="266">
        <f t="shared" si="126"/>
        <v>0</v>
      </c>
      <c r="U819" s="266">
        <f t="shared" si="127"/>
        <v>0</v>
      </c>
      <c r="V819" s="266">
        <v>0</v>
      </c>
    </row>
    <row r="820" spans="1:22" ht="27.95" hidden="1" customHeight="1">
      <c r="A820" s="260"/>
      <c r="B820" s="260"/>
      <c r="C820" s="260"/>
      <c r="D820" s="244"/>
      <c r="E820" s="244"/>
      <c r="F820" s="244"/>
      <c r="G820" s="282"/>
      <c r="H820" s="294" t="s">
        <v>1555</v>
      </c>
      <c r="I820" s="238"/>
      <c r="J820" s="246">
        <v>0</v>
      </c>
      <c r="K820" s="247" t="s">
        <v>1059</v>
      </c>
      <c r="L820" s="248">
        <v>0</v>
      </c>
      <c r="M820" s="265">
        <f>+J820*L820</f>
        <v>0</v>
      </c>
      <c r="N820" s="266">
        <v>0</v>
      </c>
      <c r="O820" s="261"/>
      <c r="P820" s="266">
        <v>0</v>
      </c>
      <c r="Q820" s="266">
        <f>+N820*P820</f>
        <v>0</v>
      </c>
      <c r="R820" s="267" t="e">
        <f t="shared" si="123"/>
        <v>#DIV/0!</v>
      </c>
      <c r="S820" s="266">
        <f>+IF(W820="DDS",Q820,0)</f>
        <v>0</v>
      </c>
      <c r="T820" s="266">
        <f>+IF(W820="ADD",Q820,0)</f>
        <v>0</v>
      </c>
      <c r="U820" s="266">
        <f>+IF(W820="DDS",0,IF(W820="ADD",0,Q820))</f>
        <v>0</v>
      </c>
      <c r="V820" s="266">
        <v>0</v>
      </c>
    </row>
    <row r="821" spans="1:22" ht="27.95" hidden="1" customHeight="1">
      <c r="A821" s="260" t="s">
        <v>1083</v>
      </c>
      <c r="B821" s="260" t="s">
        <v>1002</v>
      </c>
      <c r="C821" s="260">
        <v>93</v>
      </c>
      <c r="D821" s="229">
        <v>5</v>
      </c>
      <c r="E821" s="229">
        <v>2</v>
      </c>
      <c r="F821" s="229">
        <v>7</v>
      </c>
      <c r="G821" s="229"/>
      <c r="H821" s="238" t="s">
        <v>1556</v>
      </c>
      <c r="I821" s="238"/>
      <c r="J821" s="262"/>
      <c r="K821" s="263"/>
      <c r="L821" s="264"/>
      <c r="M821" s="234">
        <f>SUM(M823:M841)</f>
        <v>4065000</v>
      </c>
      <c r="N821" s="266">
        <v>0</v>
      </c>
      <c r="O821" s="261"/>
      <c r="P821" s="266">
        <v>0</v>
      </c>
      <c r="Q821" s="234">
        <f>Q822</f>
        <v>3870000</v>
      </c>
      <c r="R821" s="267" t="str">
        <f t="shared" si="123"/>
        <v/>
      </c>
      <c r="S821" s="234">
        <f>S822</f>
        <v>0</v>
      </c>
      <c r="T821" s="234">
        <f>T822</f>
        <v>0</v>
      </c>
      <c r="U821" s="234">
        <f>U822</f>
        <v>3870000</v>
      </c>
      <c r="V821" s="234">
        <f>V822</f>
        <v>0</v>
      </c>
    </row>
    <row r="822" spans="1:22" ht="27.95" hidden="1" customHeight="1">
      <c r="A822" s="229" t="s">
        <v>1083</v>
      </c>
      <c r="B822" s="229" t="s">
        <v>1002</v>
      </c>
      <c r="C822" s="229">
        <v>93</v>
      </c>
      <c r="D822" s="260">
        <v>5</v>
      </c>
      <c r="E822" s="260">
        <v>2</v>
      </c>
      <c r="F822" s="260">
        <v>7</v>
      </c>
      <c r="G822" s="260">
        <v>99</v>
      </c>
      <c r="H822" s="261" t="s">
        <v>1557</v>
      </c>
      <c r="I822" s="238"/>
      <c r="J822" s="262"/>
      <c r="K822" s="263"/>
      <c r="L822" s="264"/>
      <c r="M822" s="265"/>
      <c r="N822" s="266">
        <v>0</v>
      </c>
      <c r="O822" s="261"/>
      <c r="P822" s="266">
        <v>0</v>
      </c>
      <c r="Q822" s="257">
        <f>+SUM(Q823:Q841)</f>
        <v>3870000</v>
      </c>
      <c r="R822" s="267" t="str">
        <f t="shared" si="123"/>
        <v/>
      </c>
      <c r="S822" s="257">
        <f>+SUM(S823:S841)</f>
        <v>0</v>
      </c>
      <c r="T822" s="257">
        <f>+SUM(T823:T841)</f>
        <v>0</v>
      </c>
      <c r="U822" s="257">
        <f>+SUM(U823:U841)</f>
        <v>3870000</v>
      </c>
      <c r="V822" s="257">
        <f>+SUM(V823:V841)</f>
        <v>0</v>
      </c>
    </row>
    <row r="823" spans="1:22" ht="27.95" hidden="1" customHeight="1">
      <c r="A823" s="260"/>
      <c r="B823" s="260"/>
      <c r="C823" s="260"/>
      <c r="D823" s="260"/>
      <c r="E823" s="260"/>
      <c r="F823" s="260"/>
      <c r="G823" s="260"/>
      <c r="H823" s="268" t="s">
        <v>1558</v>
      </c>
      <c r="I823" s="238"/>
      <c r="J823" s="262">
        <v>1</v>
      </c>
      <c r="K823" s="263" t="s">
        <v>1511</v>
      </c>
      <c r="L823" s="264">
        <v>200000</v>
      </c>
      <c r="M823" s="265">
        <f t="shared" ref="M823:M841" si="128">+J823*L823</f>
        <v>200000</v>
      </c>
      <c r="N823" s="262">
        <v>1</v>
      </c>
      <c r="O823" s="263" t="s">
        <v>1511</v>
      </c>
      <c r="P823" s="264">
        <v>200000</v>
      </c>
      <c r="Q823" s="266">
        <f t="shared" ref="Q823:Q841" si="129">+N823*P823</f>
        <v>200000</v>
      </c>
      <c r="R823" s="267">
        <f t="shared" si="123"/>
        <v>1</v>
      </c>
      <c r="S823" s="266">
        <f t="shared" ref="S823:S841" si="130">+IF(W823="DDS",Q823,0)</f>
        <v>0</v>
      </c>
      <c r="T823" s="266">
        <f t="shared" ref="T823:T841" si="131">+IF(W823="ADD",Q823,0)</f>
        <v>0</v>
      </c>
      <c r="U823" s="266">
        <f t="shared" ref="U823:U841" si="132">+IF(W823="DDS",0,IF(W823="ADD",0,Q823))</f>
        <v>200000</v>
      </c>
      <c r="V823" s="266">
        <v>0</v>
      </c>
    </row>
    <row r="824" spans="1:22" ht="27.95" hidden="1" customHeight="1">
      <c r="A824" s="260"/>
      <c r="B824" s="260"/>
      <c r="C824" s="260"/>
      <c r="D824" s="260"/>
      <c r="E824" s="260"/>
      <c r="F824" s="260"/>
      <c r="G824" s="260"/>
      <c r="H824" s="268" t="s">
        <v>1559</v>
      </c>
      <c r="I824" s="238"/>
      <c r="J824" s="262">
        <v>1</v>
      </c>
      <c r="K824" s="263" t="s">
        <v>1511</v>
      </c>
      <c r="L824" s="264">
        <v>150000</v>
      </c>
      <c r="M824" s="265">
        <f t="shared" si="128"/>
        <v>150000</v>
      </c>
      <c r="N824" s="262">
        <v>1</v>
      </c>
      <c r="O824" s="263" t="s">
        <v>1511</v>
      </c>
      <c r="P824" s="264">
        <v>150000</v>
      </c>
      <c r="Q824" s="266">
        <f t="shared" si="129"/>
        <v>150000</v>
      </c>
      <c r="R824" s="267">
        <f t="shared" si="123"/>
        <v>1</v>
      </c>
      <c r="S824" s="266">
        <f t="shared" si="130"/>
        <v>0</v>
      </c>
      <c r="T824" s="266">
        <f t="shared" si="131"/>
        <v>0</v>
      </c>
      <c r="U824" s="266">
        <f t="shared" si="132"/>
        <v>150000</v>
      </c>
      <c r="V824" s="266">
        <v>0</v>
      </c>
    </row>
    <row r="825" spans="1:22" ht="27.95" hidden="1" customHeight="1">
      <c r="A825" s="260"/>
      <c r="B825" s="260"/>
      <c r="C825" s="260"/>
      <c r="D825" s="260"/>
      <c r="E825" s="260"/>
      <c r="F825" s="260"/>
      <c r="G825" s="260"/>
      <c r="H825" s="268" t="s">
        <v>1560</v>
      </c>
      <c r="I825" s="238"/>
      <c r="J825" s="262">
        <v>1</v>
      </c>
      <c r="K825" s="263" t="s">
        <v>1511</v>
      </c>
      <c r="L825" s="264">
        <v>100000</v>
      </c>
      <c r="M825" s="265">
        <f t="shared" si="128"/>
        <v>100000</v>
      </c>
      <c r="N825" s="262">
        <v>1</v>
      </c>
      <c r="O825" s="263" t="s">
        <v>1511</v>
      </c>
      <c r="P825" s="264">
        <v>100000</v>
      </c>
      <c r="Q825" s="266">
        <f t="shared" si="129"/>
        <v>100000</v>
      </c>
      <c r="R825" s="267">
        <f t="shared" si="123"/>
        <v>1</v>
      </c>
      <c r="S825" s="266">
        <f t="shared" si="130"/>
        <v>0</v>
      </c>
      <c r="T825" s="266">
        <f t="shared" si="131"/>
        <v>0</v>
      </c>
      <c r="U825" s="266">
        <f t="shared" si="132"/>
        <v>100000</v>
      </c>
      <c r="V825" s="266">
        <v>0</v>
      </c>
    </row>
    <row r="826" spans="1:22" ht="27.95" hidden="1" customHeight="1">
      <c r="A826" s="260"/>
      <c r="B826" s="260"/>
      <c r="C826" s="260"/>
      <c r="D826" s="260"/>
      <c r="E826" s="260"/>
      <c r="F826" s="260"/>
      <c r="G826" s="260"/>
      <c r="H826" s="268" t="s">
        <v>1561</v>
      </c>
      <c r="I826" s="238"/>
      <c r="J826" s="262">
        <v>1</v>
      </c>
      <c r="K826" s="263" t="s">
        <v>1511</v>
      </c>
      <c r="L826" s="264">
        <v>200000</v>
      </c>
      <c r="M826" s="265">
        <f t="shared" si="128"/>
        <v>200000</v>
      </c>
      <c r="N826" s="262">
        <v>1</v>
      </c>
      <c r="O826" s="263" t="s">
        <v>1511</v>
      </c>
      <c r="P826" s="264">
        <v>200000</v>
      </c>
      <c r="Q826" s="266">
        <f t="shared" si="129"/>
        <v>200000</v>
      </c>
      <c r="R826" s="267">
        <f t="shared" si="123"/>
        <v>1</v>
      </c>
      <c r="S826" s="266">
        <f t="shared" si="130"/>
        <v>0</v>
      </c>
      <c r="T826" s="266">
        <f t="shared" si="131"/>
        <v>0</v>
      </c>
      <c r="U826" s="266">
        <f t="shared" si="132"/>
        <v>200000</v>
      </c>
      <c r="V826" s="266">
        <v>0</v>
      </c>
    </row>
    <row r="827" spans="1:22" ht="27.95" hidden="1" customHeight="1">
      <c r="A827" s="260"/>
      <c r="B827" s="260"/>
      <c r="C827" s="260"/>
      <c r="D827" s="260"/>
      <c r="E827" s="260"/>
      <c r="F827" s="260"/>
      <c r="G827" s="260"/>
      <c r="H827" s="268" t="s">
        <v>1562</v>
      </c>
      <c r="I827" s="238"/>
      <c r="J827" s="262">
        <v>1</v>
      </c>
      <c r="K827" s="263" t="s">
        <v>1511</v>
      </c>
      <c r="L827" s="264">
        <v>150000</v>
      </c>
      <c r="M827" s="265">
        <f t="shared" si="128"/>
        <v>150000</v>
      </c>
      <c r="N827" s="262">
        <v>1</v>
      </c>
      <c r="O827" s="263" t="s">
        <v>1511</v>
      </c>
      <c r="P827" s="264">
        <v>150000</v>
      </c>
      <c r="Q827" s="266">
        <f t="shared" si="129"/>
        <v>150000</v>
      </c>
      <c r="R827" s="267">
        <f t="shared" si="123"/>
        <v>1</v>
      </c>
      <c r="S827" s="266">
        <f t="shared" si="130"/>
        <v>0</v>
      </c>
      <c r="T827" s="266">
        <f t="shared" si="131"/>
        <v>0</v>
      </c>
      <c r="U827" s="266">
        <f t="shared" si="132"/>
        <v>150000</v>
      </c>
      <c r="V827" s="266">
        <v>0</v>
      </c>
    </row>
    <row r="828" spans="1:22" ht="27.95" hidden="1" customHeight="1">
      <c r="A828" s="229"/>
      <c r="B828" s="229"/>
      <c r="C828" s="229"/>
      <c r="D828" s="260"/>
      <c r="E828" s="260"/>
      <c r="F828" s="260"/>
      <c r="G828" s="260"/>
      <c r="H828" s="268" t="s">
        <v>1563</v>
      </c>
      <c r="I828" s="238"/>
      <c r="J828" s="262">
        <v>1</v>
      </c>
      <c r="K828" s="263" t="s">
        <v>1511</v>
      </c>
      <c r="L828" s="264">
        <v>100000</v>
      </c>
      <c r="M828" s="265">
        <f t="shared" si="128"/>
        <v>100000</v>
      </c>
      <c r="N828" s="262">
        <v>1</v>
      </c>
      <c r="O828" s="263" t="s">
        <v>1511</v>
      </c>
      <c r="P828" s="264">
        <v>100000</v>
      </c>
      <c r="Q828" s="266">
        <f t="shared" si="129"/>
        <v>100000</v>
      </c>
      <c r="R828" s="267">
        <f t="shared" si="123"/>
        <v>1</v>
      </c>
      <c r="S828" s="266">
        <f t="shared" si="130"/>
        <v>0</v>
      </c>
      <c r="T828" s="266">
        <f t="shared" si="131"/>
        <v>0</v>
      </c>
      <c r="U828" s="266">
        <f t="shared" si="132"/>
        <v>100000</v>
      </c>
      <c r="V828" s="266">
        <v>0</v>
      </c>
    </row>
    <row r="829" spans="1:22" ht="27.95" hidden="1" customHeight="1">
      <c r="A829" s="229"/>
      <c r="B829" s="229"/>
      <c r="C829" s="229"/>
      <c r="D829" s="260"/>
      <c r="E829" s="260"/>
      <c r="F829" s="260"/>
      <c r="G829" s="260"/>
      <c r="H829" s="268" t="s">
        <v>1564</v>
      </c>
      <c r="I829" s="238"/>
      <c r="J829" s="262">
        <v>21</v>
      </c>
      <c r="K829" s="263" t="s">
        <v>1046</v>
      </c>
      <c r="L829" s="264">
        <v>65000</v>
      </c>
      <c r="M829" s="265">
        <f t="shared" si="128"/>
        <v>1365000</v>
      </c>
      <c r="N829" s="266">
        <v>18</v>
      </c>
      <c r="O829" s="261" t="s">
        <v>1046</v>
      </c>
      <c r="P829" s="266">
        <v>65000</v>
      </c>
      <c r="Q829" s="266">
        <f t="shared" si="129"/>
        <v>1170000</v>
      </c>
      <c r="R829" s="267">
        <f t="shared" si="123"/>
        <v>0.8571428571428571</v>
      </c>
      <c r="S829" s="266">
        <f t="shared" si="130"/>
        <v>0</v>
      </c>
      <c r="T829" s="266">
        <f t="shared" si="131"/>
        <v>0</v>
      </c>
      <c r="U829" s="266">
        <f t="shared" si="132"/>
        <v>1170000</v>
      </c>
      <c r="V829" s="266">
        <v>0</v>
      </c>
    </row>
    <row r="830" spans="1:22" ht="27.95" hidden="1" customHeight="1">
      <c r="A830" s="260"/>
      <c r="B830" s="260"/>
      <c r="C830" s="260"/>
      <c r="D830" s="260"/>
      <c r="E830" s="260"/>
      <c r="F830" s="260"/>
      <c r="G830" s="260"/>
      <c r="H830" s="268" t="s">
        <v>1565</v>
      </c>
      <c r="I830" s="238"/>
      <c r="J830" s="262">
        <v>1</v>
      </c>
      <c r="K830" s="263" t="s">
        <v>1511</v>
      </c>
      <c r="L830" s="264">
        <v>200000</v>
      </c>
      <c r="M830" s="265">
        <f t="shared" si="128"/>
        <v>200000</v>
      </c>
      <c r="N830" s="262">
        <v>1</v>
      </c>
      <c r="O830" s="263" t="s">
        <v>1511</v>
      </c>
      <c r="P830" s="264">
        <v>200000</v>
      </c>
      <c r="Q830" s="266">
        <f t="shared" si="129"/>
        <v>200000</v>
      </c>
      <c r="R830" s="267">
        <f t="shared" si="123"/>
        <v>1</v>
      </c>
      <c r="S830" s="266">
        <f t="shared" si="130"/>
        <v>0</v>
      </c>
      <c r="T830" s="266">
        <f t="shared" si="131"/>
        <v>0</v>
      </c>
      <c r="U830" s="266">
        <f t="shared" si="132"/>
        <v>200000</v>
      </c>
      <c r="V830" s="266">
        <v>0</v>
      </c>
    </row>
    <row r="831" spans="1:22" ht="27.95" hidden="1" customHeight="1">
      <c r="A831" s="260"/>
      <c r="B831" s="260"/>
      <c r="C831" s="260"/>
      <c r="D831" s="260"/>
      <c r="E831" s="260"/>
      <c r="F831" s="260"/>
      <c r="G831" s="260"/>
      <c r="H831" s="268" t="s">
        <v>1566</v>
      </c>
      <c r="I831" s="238"/>
      <c r="J831" s="262">
        <v>1</v>
      </c>
      <c r="K831" s="263" t="s">
        <v>1511</v>
      </c>
      <c r="L831" s="264">
        <v>150000</v>
      </c>
      <c r="M831" s="265">
        <f t="shared" si="128"/>
        <v>150000</v>
      </c>
      <c r="N831" s="262">
        <v>1</v>
      </c>
      <c r="O831" s="263" t="s">
        <v>1511</v>
      </c>
      <c r="P831" s="264">
        <v>150000</v>
      </c>
      <c r="Q831" s="266">
        <f t="shared" si="129"/>
        <v>150000</v>
      </c>
      <c r="R831" s="267">
        <f t="shared" si="123"/>
        <v>1</v>
      </c>
      <c r="S831" s="266">
        <f t="shared" si="130"/>
        <v>0</v>
      </c>
      <c r="T831" s="266">
        <f t="shared" si="131"/>
        <v>0</v>
      </c>
      <c r="U831" s="266">
        <f t="shared" si="132"/>
        <v>150000</v>
      </c>
      <c r="V831" s="266">
        <v>0</v>
      </c>
    </row>
    <row r="832" spans="1:22" ht="27.95" hidden="1" customHeight="1">
      <c r="A832" s="260"/>
      <c r="B832" s="260"/>
      <c r="C832" s="260"/>
      <c r="D832" s="260"/>
      <c r="E832" s="260"/>
      <c r="F832" s="260"/>
      <c r="G832" s="260"/>
      <c r="H832" s="268" t="s">
        <v>1567</v>
      </c>
      <c r="I832" s="238"/>
      <c r="J832" s="262">
        <v>1</v>
      </c>
      <c r="K832" s="263" t="s">
        <v>1511</v>
      </c>
      <c r="L832" s="264">
        <v>100000</v>
      </c>
      <c r="M832" s="265">
        <f t="shared" si="128"/>
        <v>100000</v>
      </c>
      <c r="N832" s="262">
        <v>1</v>
      </c>
      <c r="O832" s="263" t="s">
        <v>1511</v>
      </c>
      <c r="P832" s="264">
        <v>100000</v>
      </c>
      <c r="Q832" s="266">
        <f t="shared" si="129"/>
        <v>100000</v>
      </c>
      <c r="R832" s="267">
        <f t="shared" si="123"/>
        <v>1</v>
      </c>
      <c r="S832" s="266">
        <f t="shared" si="130"/>
        <v>0</v>
      </c>
      <c r="T832" s="266">
        <f t="shared" si="131"/>
        <v>0</v>
      </c>
      <c r="U832" s="266">
        <f t="shared" si="132"/>
        <v>100000</v>
      </c>
      <c r="V832" s="266">
        <v>0</v>
      </c>
    </row>
    <row r="833" spans="1:22" ht="27.95" hidden="1" customHeight="1">
      <c r="A833" s="260"/>
      <c r="B833" s="260"/>
      <c r="C833" s="260"/>
      <c r="D833" s="260"/>
      <c r="E833" s="260"/>
      <c r="F833" s="260"/>
      <c r="G833" s="260"/>
      <c r="H833" s="268" t="s">
        <v>1568</v>
      </c>
      <c r="I833" s="238"/>
      <c r="J833" s="262">
        <v>1</v>
      </c>
      <c r="K833" s="263" t="s">
        <v>1511</v>
      </c>
      <c r="L833" s="264">
        <v>200000</v>
      </c>
      <c r="M833" s="265">
        <f t="shared" si="128"/>
        <v>200000</v>
      </c>
      <c r="N833" s="262">
        <v>1</v>
      </c>
      <c r="O833" s="263" t="s">
        <v>1511</v>
      </c>
      <c r="P833" s="264">
        <v>200000</v>
      </c>
      <c r="Q833" s="266">
        <f t="shared" si="129"/>
        <v>200000</v>
      </c>
      <c r="R833" s="267">
        <f t="shared" si="123"/>
        <v>1</v>
      </c>
      <c r="S833" s="266">
        <f t="shared" si="130"/>
        <v>0</v>
      </c>
      <c r="T833" s="266">
        <f t="shared" si="131"/>
        <v>0</v>
      </c>
      <c r="U833" s="266">
        <f t="shared" si="132"/>
        <v>200000</v>
      </c>
      <c r="V833" s="266">
        <v>0</v>
      </c>
    </row>
    <row r="834" spans="1:22" ht="27.95" hidden="1" customHeight="1">
      <c r="A834" s="260"/>
      <c r="B834" s="260"/>
      <c r="C834" s="260"/>
      <c r="D834" s="260"/>
      <c r="E834" s="260"/>
      <c r="F834" s="260"/>
      <c r="G834" s="260"/>
      <c r="H834" s="268" t="s">
        <v>1569</v>
      </c>
      <c r="I834" s="238"/>
      <c r="J834" s="262">
        <v>1</v>
      </c>
      <c r="K834" s="263" t="s">
        <v>1511</v>
      </c>
      <c r="L834" s="264">
        <v>150000</v>
      </c>
      <c r="M834" s="265">
        <f t="shared" si="128"/>
        <v>150000</v>
      </c>
      <c r="N834" s="262">
        <v>1</v>
      </c>
      <c r="O834" s="263" t="s">
        <v>1511</v>
      </c>
      <c r="P834" s="264">
        <v>150000</v>
      </c>
      <c r="Q834" s="266">
        <f t="shared" si="129"/>
        <v>150000</v>
      </c>
      <c r="R834" s="267">
        <f t="shared" si="123"/>
        <v>1</v>
      </c>
      <c r="S834" s="266">
        <f t="shared" si="130"/>
        <v>0</v>
      </c>
      <c r="T834" s="266">
        <f t="shared" si="131"/>
        <v>0</v>
      </c>
      <c r="U834" s="266">
        <f t="shared" si="132"/>
        <v>150000</v>
      </c>
      <c r="V834" s="266">
        <v>0</v>
      </c>
    </row>
    <row r="835" spans="1:22" ht="27.95" hidden="1" customHeight="1">
      <c r="A835" s="260"/>
      <c r="B835" s="260"/>
      <c r="C835" s="260"/>
      <c r="D835" s="260"/>
      <c r="E835" s="260"/>
      <c r="F835" s="260"/>
      <c r="G835" s="260"/>
      <c r="H835" s="268" t="s">
        <v>1570</v>
      </c>
      <c r="I835" s="238"/>
      <c r="J835" s="262">
        <v>1</v>
      </c>
      <c r="K835" s="263" t="s">
        <v>1511</v>
      </c>
      <c r="L835" s="264">
        <v>100000</v>
      </c>
      <c r="M835" s="265">
        <f t="shared" si="128"/>
        <v>100000</v>
      </c>
      <c r="N835" s="262">
        <v>1</v>
      </c>
      <c r="O835" s="263" t="s">
        <v>1511</v>
      </c>
      <c r="P835" s="264">
        <v>100000</v>
      </c>
      <c r="Q835" s="266">
        <f t="shared" si="129"/>
        <v>100000</v>
      </c>
      <c r="R835" s="267">
        <f t="shared" si="123"/>
        <v>1</v>
      </c>
      <c r="S835" s="266">
        <f t="shared" si="130"/>
        <v>0</v>
      </c>
      <c r="T835" s="266">
        <f t="shared" si="131"/>
        <v>0</v>
      </c>
      <c r="U835" s="266">
        <f t="shared" si="132"/>
        <v>100000</v>
      </c>
      <c r="V835" s="266">
        <v>0</v>
      </c>
    </row>
    <row r="836" spans="1:22" ht="27.95" hidden="1" customHeight="1">
      <c r="A836" s="260"/>
      <c r="B836" s="260"/>
      <c r="C836" s="260"/>
      <c r="D836" s="260"/>
      <c r="E836" s="260"/>
      <c r="F836" s="260"/>
      <c r="G836" s="260"/>
      <c r="H836" s="268" t="s">
        <v>1571</v>
      </c>
      <c r="I836" s="238"/>
      <c r="J836" s="262">
        <v>1</v>
      </c>
      <c r="K836" s="263" t="s">
        <v>1511</v>
      </c>
      <c r="L836" s="264">
        <v>200000</v>
      </c>
      <c r="M836" s="265">
        <f t="shared" si="128"/>
        <v>200000</v>
      </c>
      <c r="N836" s="262">
        <v>1</v>
      </c>
      <c r="O836" s="263" t="s">
        <v>1511</v>
      </c>
      <c r="P836" s="264">
        <v>200000</v>
      </c>
      <c r="Q836" s="266">
        <f t="shared" si="129"/>
        <v>200000</v>
      </c>
      <c r="R836" s="267">
        <f t="shared" si="123"/>
        <v>1</v>
      </c>
      <c r="S836" s="266">
        <f t="shared" si="130"/>
        <v>0</v>
      </c>
      <c r="T836" s="266">
        <f t="shared" si="131"/>
        <v>0</v>
      </c>
      <c r="U836" s="266">
        <f t="shared" si="132"/>
        <v>200000</v>
      </c>
      <c r="V836" s="266">
        <v>0</v>
      </c>
    </row>
    <row r="837" spans="1:22" ht="27.95" hidden="1" customHeight="1">
      <c r="A837" s="260"/>
      <c r="B837" s="260"/>
      <c r="C837" s="260"/>
      <c r="D837" s="260"/>
      <c r="E837" s="260"/>
      <c r="F837" s="260"/>
      <c r="G837" s="260"/>
      <c r="H837" s="268" t="s">
        <v>1572</v>
      </c>
      <c r="I837" s="238"/>
      <c r="J837" s="262">
        <v>1</v>
      </c>
      <c r="K837" s="263" t="s">
        <v>1511</v>
      </c>
      <c r="L837" s="264">
        <v>150000</v>
      </c>
      <c r="M837" s="265">
        <f t="shared" si="128"/>
        <v>150000</v>
      </c>
      <c r="N837" s="262">
        <v>1</v>
      </c>
      <c r="O837" s="263" t="s">
        <v>1511</v>
      </c>
      <c r="P837" s="264">
        <v>150000</v>
      </c>
      <c r="Q837" s="266">
        <f t="shared" si="129"/>
        <v>150000</v>
      </c>
      <c r="R837" s="267">
        <f t="shared" si="123"/>
        <v>1</v>
      </c>
      <c r="S837" s="266">
        <f t="shared" si="130"/>
        <v>0</v>
      </c>
      <c r="T837" s="266">
        <f t="shared" si="131"/>
        <v>0</v>
      </c>
      <c r="U837" s="266">
        <f t="shared" si="132"/>
        <v>150000</v>
      </c>
      <c r="V837" s="266">
        <v>0</v>
      </c>
    </row>
    <row r="838" spans="1:22" ht="27.95" hidden="1" customHeight="1">
      <c r="A838" s="260"/>
      <c r="B838" s="260"/>
      <c r="C838" s="260"/>
      <c r="D838" s="260"/>
      <c r="E838" s="260"/>
      <c r="F838" s="260"/>
      <c r="G838" s="260"/>
      <c r="H838" s="268" t="s">
        <v>1573</v>
      </c>
      <c r="I838" s="238"/>
      <c r="J838" s="262">
        <v>1</v>
      </c>
      <c r="K838" s="263" t="s">
        <v>1511</v>
      </c>
      <c r="L838" s="264">
        <v>100000</v>
      </c>
      <c r="M838" s="265">
        <f t="shared" si="128"/>
        <v>100000</v>
      </c>
      <c r="N838" s="262">
        <v>1</v>
      </c>
      <c r="O838" s="263" t="s">
        <v>1511</v>
      </c>
      <c r="P838" s="264">
        <v>100000</v>
      </c>
      <c r="Q838" s="266">
        <f t="shared" si="129"/>
        <v>100000</v>
      </c>
      <c r="R838" s="267">
        <f t="shared" si="123"/>
        <v>1</v>
      </c>
      <c r="S838" s="266">
        <f t="shared" si="130"/>
        <v>0</v>
      </c>
      <c r="T838" s="266">
        <f t="shared" si="131"/>
        <v>0</v>
      </c>
      <c r="U838" s="266">
        <f t="shared" si="132"/>
        <v>100000</v>
      </c>
      <c r="V838" s="266">
        <v>0</v>
      </c>
    </row>
    <row r="839" spans="1:22" ht="27.95" hidden="1" customHeight="1">
      <c r="A839" s="260"/>
      <c r="B839" s="260"/>
      <c r="C839" s="260"/>
      <c r="D839" s="260"/>
      <c r="E839" s="260"/>
      <c r="F839" s="260"/>
      <c r="G839" s="260"/>
      <c r="H839" s="268" t="s">
        <v>1574</v>
      </c>
      <c r="I839" s="238"/>
      <c r="J839" s="262">
        <v>1</v>
      </c>
      <c r="K839" s="263" t="s">
        <v>1511</v>
      </c>
      <c r="L839" s="264">
        <v>200000</v>
      </c>
      <c r="M839" s="265">
        <f t="shared" si="128"/>
        <v>200000</v>
      </c>
      <c r="N839" s="262">
        <v>1</v>
      </c>
      <c r="O839" s="263" t="s">
        <v>1511</v>
      </c>
      <c r="P839" s="264">
        <v>200000</v>
      </c>
      <c r="Q839" s="266">
        <f t="shared" si="129"/>
        <v>200000</v>
      </c>
      <c r="R839" s="267">
        <f t="shared" si="123"/>
        <v>1</v>
      </c>
      <c r="S839" s="266">
        <f t="shared" si="130"/>
        <v>0</v>
      </c>
      <c r="T839" s="266">
        <f t="shared" si="131"/>
        <v>0</v>
      </c>
      <c r="U839" s="266">
        <f t="shared" si="132"/>
        <v>200000</v>
      </c>
      <c r="V839" s="266">
        <v>0</v>
      </c>
    </row>
    <row r="840" spans="1:22" ht="27.95" hidden="1" customHeight="1">
      <c r="A840" s="260"/>
      <c r="B840" s="260"/>
      <c r="C840" s="260"/>
      <c r="D840" s="260"/>
      <c r="E840" s="260"/>
      <c r="F840" s="260"/>
      <c r="G840" s="260"/>
      <c r="H840" s="268" t="s">
        <v>1575</v>
      </c>
      <c r="I840" s="238"/>
      <c r="J840" s="262">
        <v>1</v>
      </c>
      <c r="K840" s="263" t="s">
        <v>1511</v>
      </c>
      <c r="L840" s="264">
        <v>150000</v>
      </c>
      <c r="M840" s="265">
        <f t="shared" si="128"/>
        <v>150000</v>
      </c>
      <c r="N840" s="262">
        <v>1</v>
      </c>
      <c r="O840" s="263" t="s">
        <v>1511</v>
      </c>
      <c r="P840" s="264">
        <v>150000</v>
      </c>
      <c r="Q840" s="266">
        <f t="shared" si="129"/>
        <v>150000</v>
      </c>
      <c r="R840" s="267">
        <f t="shared" si="123"/>
        <v>1</v>
      </c>
      <c r="S840" s="266">
        <f t="shared" si="130"/>
        <v>0</v>
      </c>
      <c r="T840" s="266">
        <f t="shared" si="131"/>
        <v>0</v>
      </c>
      <c r="U840" s="266">
        <f t="shared" si="132"/>
        <v>150000</v>
      </c>
      <c r="V840" s="266">
        <v>0</v>
      </c>
    </row>
    <row r="841" spans="1:22" ht="27.95" hidden="1" customHeight="1">
      <c r="A841" s="260"/>
      <c r="B841" s="260"/>
      <c r="C841" s="260"/>
      <c r="D841" s="260"/>
      <c r="E841" s="260"/>
      <c r="F841" s="260"/>
      <c r="G841" s="260"/>
      <c r="H841" s="268" t="s">
        <v>1576</v>
      </c>
      <c r="I841" s="238"/>
      <c r="J841" s="262">
        <v>1</v>
      </c>
      <c r="K841" s="263" t="s">
        <v>1511</v>
      </c>
      <c r="L841" s="264">
        <v>100000</v>
      </c>
      <c r="M841" s="265">
        <f t="shared" si="128"/>
        <v>100000</v>
      </c>
      <c r="N841" s="262">
        <v>1</v>
      </c>
      <c r="O841" s="263" t="s">
        <v>1511</v>
      </c>
      <c r="P841" s="264">
        <v>100000</v>
      </c>
      <c r="Q841" s="266">
        <f t="shared" si="129"/>
        <v>100000</v>
      </c>
      <c r="R841" s="267">
        <f t="shared" si="123"/>
        <v>1</v>
      </c>
      <c r="S841" s="266">
        <f t="shared" si="130"/>
        <v>0</v>
      </c>
      <c r="T841" s="266">
        <f t="shared" si="131"/>
        <v>0</v>
      </c>
      <c r="U841" s="266">
        <f t="shared" si="132"/>
        <v>100000</v>
      </c>
      <c r="V841" s="266">
        <v>0</v>
      </c>
    </row>
    <row r="842" spans="1:22" ht="27.95" hidden="1" customHeight="1">
      <c r="A842" s="260" t="s">
        <v>1083</v>
      </c>
      <c r="B842" s="260" t="s">
        <v>1002</v>
      </c>
      <c r="C842" s="260">
        <v>93</v>
      </c>
      <c r="D842" s="229">
        <v>5</v>
      </c>
      <c r="E842" s="229">
        <v>2</v>
      </c>
      <c r="F842" s="229">
        <v>7</v>
      </c>
      <c r="G842" s="229"/>
      <c r="H842" s="238" t="s">
        <v>1556</v>
      </c>
      <c r="I842" s="238"/>
      <c r="J842" s="262"/>
      <c r="K842" s="263"/>
      <c r="L842" s="264"/>
      <c r="M842" s="234">
        <f>SUM(M844)</f>
        <v>15100000</v>
      </c>
      <c r="N842" s="266">
        <v>0</v>
      </c>
      <c r="O842" s="261"/>
      <c r="P842" s="266">
        <v>0</v>
      </c>
      <c r="Q842" s="234">
        <f>SUM(Q844)</f>
        <v>11150000</v>
      </c>
      <c r="R842" s="267" t="str">
        <f t="shared" si="123"/>
        <v/>
      </c>
      <c r="S842" s="234">
        <f>SUM(S844)</f>
        <v>0</v>
      </c>
      <c r="T842" s="234">
        <f>SUM(T844)</f>
        <v>0</v>
      </c>
      <c r="U842" s="234">
        <f>SUM(U844)</f>
        <v>11150000</v>
      </c>
      <c r="V842" s="234">
        <f>SUM(V844)</f>
        <v>0</v>
      </c>
    </row>
    <row r="843" spans="1:22" ht="27.95" hidden="1" customHeight="1">
      <c r="A843" s="229" t="s">
        <v>1083</v>
      </c>
      <c r="B843" s="229" t="s">
        <v>1002</v>
      </c>
      <c r="C843" s="229">
        <v>93</v>
      </c>
      <c r="D843" s="260">
        <v>5</v>
      </c>
      <c r="E843" s="260">
        <v>2</v>
      </c>
      <c r="F843" s="260">
        <v>7</v>
      </c>
      <c r="G843" s="269" t="s">
        <v>960</v>
      </c>
      <c r="H843" s="261" t="s">
        <v>1577</v>
      </c>
      <c r="I843" s="238"/>
      <c r="J843" s="262"/>
      <c r="K843" s="263"/>
      <c r="L843" s="264"/>
      <c r="M843" s="265"/>
      <c r="N843" s="266">
        <v>0</v>
      </c>
      <c r="O843" s="261"/>
      <c r="P843" s="266">
        <v>0</v>
      </c>
      <c r="Q843" s="257">
        <f>Q844</f>
        <v>11150000</v>
      </c>
      <c r="R843" s="267" t="str">
        <f t="shared" si="123"/>
        <v/>
      </c>
      <c r="S843" s="257">
        <f>S844</f>
        <v>0</v>
      </c>
      <c r="T843" s="257">
        <f>T844</f>
        <v>0</v>
      </c>
      <c r="U843" s="257">
        <f>U844</f>
        <v>11150000</v>
      </c>
      <c r="V843" s="257">
        <f>V844</f>
        <v>0</v>
      </c>
    </row>
    <row r="844" spans="1:22" ht="27.95" hidden="1" customHeight="1">
      <c r="A844" s="260"/>
      <c r="B844" s="260"/>
      <c r="C844" s="260"/>
      <c r="D844" s="260"/>
      <c r="E844" s="260"/>
      <c r="F844" s="260"/>
      <c r="G844" s="260"/>
      <c r="H844" s="268" t="s">
        <v>1578</v>
      </c>
      <c r="I844" s="238"/>
      <c r="J844" s="262">
        <v>1</v>
      </c>
      <c r="K844" s="263" t="s">
        <v>1511</v>
      </c>
      <c r="L844" s="264">
        <v>15100000</v>
      </c>
      <c r="M844" s="265">
        <f>+J844*L844</f>
        <v>15100000</v>
      </c>
      <c r="N844" s="262">
        <v>1</v>
      </c>
      <c r="O844" s="263" t="s">
        <v>1511</v>
      </c>
      <c r="P844" s="264">
        <f>4100000+7050000</f>
        <v>11150000</v>
      </c>
      <c r="Q844" s="266">
        <f>+N844*P844</f>
        <v>11150000</v>
      </c>
      <c r="R844" s="267">
        <f t="shared" si="123"/>
        <v>0.73841059602649006</v>
      </c>
      <c r="S844" s="266">
        <f>+IF(W844="DDS",Q844,0)</f>
        <v>0</v>
      </c>
      <c r="T844" s="266">
        <f>+IF(W844="ADD",Q844,0)</f>
        <v>0</v>
      </c>
      <c r="U844" s="266">
        <f>+IF(W844="DDS",0,IF(W844="ADD",0,Q844))</f>
        <v>11150000</v>
      </c>
      <c r="V844" s="266">
        <v>0</v>
      </c>
    </row>
    <row r="845" spans="1:22" ht="27.95" customHeight="1">
      <c r="A845" s="260" t="s">
        <v>1083</v>
      </c>
      <c r="B845" s="260" t="s">
        <v>1002</v>
      </c>
      <c r="C845" s="260">
        <v>93</v>
      </c>
      <c r="D845" s="229" t="s">
        <v>1083</v>
      </c>
      <c r="E845" s="229" t="s">
        <v>1002</v>
      </c>
      <c r="F845" s="229">
        <v>93</v>
      </c>
      <c r="G845" s="229" t="s">
        <v>959</v>
      </c>
      <c r="H845" s="238" t="s">
        <v>1579</v>
      </c>
      <c r="I845" s="238" t="s">
        <v>1580</v>
      </c>
      <c r="J845" s="239"/>
      <c r="K845" s="240">
        <v>1</v>
      </c>
      <c r="L845" s="241" t="s">
        <v>386</v>
      </c>
      <c r="M845" s="234">
        <f>+M846</f>
        <v>58350000</v>
      </c>
      <c r="N845" s="266">
        <v>0</v>
      </c>
      <c r="O845" s="240">
        <v>1</v>
      </c>
      <c r="P845" s="241" t="s">
        <v>386</v>
      </c>
      <c r="Q845" s="234">
        <f>+Q846</f>
        <v>58350000</v>
      </c>
      <c r="R845" s="236">
        <f>Q845/M845*100%</f>
        <v>1</v>
      </c>
      <c r="S845" s="234">
        <f>+S846</f>
        <v>0</v>
      </c>
      <c r="T845" s="234">
        <f>+T846</f>
        <v>0</v>
      </c>
      <c r="U845" s="234">
        <f>+U846</f>
        <v>58350000</v>
      </c>
      <c r="V845" s="234">
        <f>+V846</f>
        <v>0</v>
      </c>
    </row>
    <row r="846" spans="1:22" ht="27.95" hidden="1" customHeight="1">
      <c r="A846" s="260"/>
      <c r="B846" s="260"/>
      <c r="C846" s="260"/>
      <c r="D846" s="244" t="s">
        <v>363</v>
      </c>
      <c r="E846" s="244" t="s">
        <v>970</v>
      </c>
      <c r="F846" s="244" t="s">
        <v>959</v>
      </c>
      <c r="G846" s="244" t="s">
        <v>959</v>
      </c>
      <c r="H846" s="245" t="s">
        <v>1026</v>
      </c>
      <c r="I846" s="238"/>
      <c r="J846" s="246"/>
      <c r="K846" s="247"/>
      <c r="L846" s="248"/>
      <c r="M846" s="249">
        <f>+M847+M858+M862</f>
        <v>58350000</v>
      </c>
      <c r="N846" s="266">
        <v>0</v>
      </c>
      <c r="O846" s="261"/>
      <c r="P846" s="266">
        <v>0</v>
      </c>
      <c r="Q846" s="249">
        <f>+Q847+Q858+Q862</f>
        <v>58350000</v>
      </c>
      <c r="R846" s="267" t="str">
        <f t="shared" si="123"/>
        <v/>
      </c>
      <c r="S846" s="249">
        <f>+S847+S858+S862</f>
        <v>0</v>
      </c>
      <c r="T846" s="249">
        <f>+T847+T858+T862</f>
        <v>0</v>
      </c>
      <c r="U846" s="249">
        <f>+U847+U858+U862</f>
        <v>58350000</v>
      </c>
      <c r="V846" s="249">
        <f>+V847+V858+V862</f>
        <v>0</v>
      </c>
    </row>
    <row r="847" spans="1:22" ht="27.95" hidden="1" customHeight="1">
      <c r="A847" s="260" t="s">
        <v>1083</v>
      </c>
      <c r="B847" s="260" t="s">
        <v>1002</v>
      </c>
      <c r="C847" s="260">
        <v>93</v>
      </c>
      <c r="D847" s="252" t="s">
        <v>363</v>
      </c>
      <c r="E847" s="252" t="s">
        <v>970</v>
      </c>
      <c r="F847" s="252" t="s">
        <v>362</v>
      </c>
      <c r="G847" s="252" t="s">
        <v>959</v>
      </c>
      <c r="H847" s="253" t="s">
        <v>134</v>
      </c>
      <c r="I847" s="238"/>
      <c r="J847" s="254"/>
      <c r="K847" s="255"/>
      <c r="L847" s="256"/>
      <c r="M847" s="257">
        <f>+SUM(M848:M857)</f>
        <v>19350000</v>
      </c>
      <c r="N847" s="266">
        <v>0</v>
      </c>
      <c r="O847" s="261"/>
      <c r="P847" s="266">
        <v>0</v>
      </c>
      <c r="Q847" s="257">
        <f>+SUM(Q848:Q857)</f>
        <v>19350000</v>
      </c>
      <c r="R847" s="267" t="str">
        <f t="shared" si="123"/>
        <v/>
      </c>
      <c r="S847" s="257">
        <f>+SUM(S848:S857)</f>
        <v>0</v>
      </c>
      <c r="T847" s="257">
        <f>+SUM(T848:T857)</f>
        <v>0</v>
      </c>
      <c r="U847" s="257">
        <f>+SUM(U848:U857)</f>
        <v>19350000</v>
      </c>
      <c r="V847" s="257">
        <f>+SUM(V848:V857)</f>
        <v>0</v>
      </c>
    </row>
    <row r="848" spans="1:22" ht="27.95" hidden="1" customHeight="1">
      <c r="A848" s="252" t="s">
        <v>1083</v>
      </c>
      <c r="B848" s="252" t="s">
        <v>1002</v>
      </c>
      <c r="C848" s="252">
        <v>93</v>
      </c>
      <c r="D848" s="260" t="s">
        <v>363</v>
      </c>
      <c r="E848" s="260" t="s">
        <v>970</v>
      </c>
      <c r="F848" s="260" t="s">
        <v>362</v>
      </c>
      <c r="G848" s="260" t="s">
        <v>960</v>
      </c>
      <c r="H848" s="261" t="s">
        <v>1027</v>
      </c>
      <c r="I848" s="238"/>
      <c r="J848" s="262">
        <v>1</v>
      </c>
      <c r="K848" s="263" t="s">
        <v>1029</v>
      </c>
      <c r="L848" s="264">
        <v>500000</v>
      </c>
      <c r="M848" s="265">
        <f>+J848*L848</f>
        <v>500000</v>
      </c>
      <c r="N848" s="262">
        <v>1</v>
      </c>
      <c r="O848" s="263" t="s">
        <v>1029</v>
      </c>
      <c r="P848" s="264">
        <v>500000</v>
      </c>
      <c r="Q848" s="266">
        <f>+N848*P848</f>
        <v>500000</v>
      </c>
      <c r="R848" s="267">
        <f t="shared" si="123"/>
        <v>1</v>
      </c>
      <c r="S848" s="266">
        <f>+IF(W848="DDS",Q848,0)</f>
        <v>0</v>
      </c>
      <c r="T848" s="266">
        <f>+IF(W848="ADD",Q848,0)</f>
        <v>0</v>
      </c>
      <c r="U848" s="266">
        <f>+IF(W848="DDS",0,IF(W848="ADD",0,Q848))</f>
        <v>500000</v>
      </c>
      <c r="V848" s="266">
        <v>0</v>
      </c>
    </row>
    <row r="849" spans="1:22" ht="27.95" hidden="1" customHeight="1">
      <c r="A849" s="260" t="s">
        <v>1083</v>
      </c>
      <c r="B849" s="260" t="s">
        <v>1002</v>
      </c>
      <c r="C849" s="260">
        <v>93</v>
      </c>
      <c r="D849" s="260" t="s">
        <v>363</v>
      </c>
      <c r="E849" s="260" t="s">
        <v>970</v>
      </c>
      <c r="F849" s="260" t="s">
        <v>362</v>
      </c>
      <c r="G849" s="260" t="s">
        <v>1038</v>
      </c>
      <c r="H849" s="261" t="s">
        <v>1090</v>
      </c>
      <c r="I849" s="238"/>
      <c r="J849" s="262">
        <v>1</v>
      </c>
      <c r="K849" s="263" t="s">
        <v>1029</v>
      </c>
      <c r="L849" s="264">
        <v>350000</v>
      </c>
      <c r="M849" s="265">
        <f>+J849*L849</f>
        <v>350000</v>
      </c>
      <c r="N849" s="262">
        <v>1</v>
      </c>
      <c r="O849" s="263" t="s">
        <v>1029</v>
      </c>
      <c r="P849" s="264">
        <v>350000</v>
      </c>
      <c r="Q849" s="266">
        <f>+N849*P849</f>
        <v>350000</v>
      </c>
      <c r="R849" s="267">
        <f>IF(J849="","",Q849/M849)</f>
        <v>1</v>
      </c>
      <c r="S849" s="266">
        <f>+IF(W849="DDS",Q849,0)</f>
        <v>0</v>
      </c>
      <c r="T849" s="266">
        <f>+IF(W849="ADD",Q849,0)</f>
        <v>0</v>
      </c>
      <c r="U849" s="266">
        <f>+IF(W849="DDS",0,IF(W849="ADD",0,Q849))</f>
        <v>350000</v>
      </c>
      <c r="V849" s="266">
        <v>0</v>
      </c>
    </row>
    <row r="850" spans="1:22" ht="27.95" hidden="1" customHeight="1">
      <c r="A850" s="260" t="s">
        <v>1083</v>
      </c>
      <c r="B850" s="260" t="s">
        <v>1002</v>
      </c>
      <c r="C850" s="260">
        <v>93</v>
      </c>
      <c r="D850" s="260" t="s">
        <v>363</v>
      </c>
      <c r="E850" s="260" t="s">
        <v>970</v>
      </c>
      <c r="F850" s="260" t="s">
        <v>362</v>
      </c>
      <c r="G850" s="260" t="s">
        <v>1040</v>
      </c>
      <c r="H850" s="261" t="s">
        <v>252</v>
      </c>
      <c r="I850" s="238"/>
      <c r="J850" s="262"/>
      <c r="K850" s="263"/>
      <c r="L850" s="264"/>
      <c r="M850" s="265"/>
      <c r="N850" s="266"/>
      <c r="O850" s="261"/>
      <c r="P850" s="266"/>
      <c r="Q850" s="266"/>
      <c r="R850" s="267"/>
      <c r="S850" s="266"/>
      <c r="T850" s="266"/>
      <c r="U850" s="266"/>
      <c r="V850" s="266"/>
    </row>
    <row r="851" spans="1:22" ht="27.95" hidden="1" customHeight="1">
      <c r="A851" s="260"/>
      <c r="B851" s="260"/>
      <c r="C851" s="260"/>
      <c r="D851" s="260"/>
      <c r="E851" s="260"/>
      <c r="F851" s="260"/>
      <c r="G851" s="260"/>
      <c r="H851" s="268" t="s">
        <v>1581</v>
      </c>
      <c r="I851" s="238"/>
      <c r="J851" s="262">
        <v>50</v>
      </c>
      <c r="K851" s="263" t="s">
        <v>1042</v>
      </c>
      <c r="L851" s="264">
        <v>10000</v>
      </c>
      <c r="M851" s="265">
        <f>+J851*L851</f>
        <v>500000</v>
      </c>
      <c r="N851" s="262">
        <v>50</v>
      </c>
      <c r="O851" s="263" t="s">
        <v>1042</v>
      </c>
      <c r="P851" s="264">
        <v>10000</v>
      </c>
      <c r="Q851" s="266">
        <f>+N851*P851</f>
        <v>500000</v>
      </c>
      <c r="R851" s="267">
        <f>IF(J851="","",Q851/M851)</f>
        <v>1</v>
      </c>
      <c r="S851" s="266">
        <f>+IF(W851="DDS",Q851,0)</f>
        <v>0</v>
      </c>
      <c r="T851" s="266">
        <f>+IF(W851="ADD",Q851,0)</f>
        <v>0</v>
      </c>
      <c r="U851" s="266">
        <f>+IF(W851="DDS",0,IF(W851="ADD",0,Q851))</f>
        <v>500000</v>
      </c>
      <c r="V851" s="266">
        <v>0</v>
      </c>
    </row>
    <row r="852" spans="1:22" ht="27.95" hidden="1" customHeight="1">
      <c r="A852" s="260"/>
      <c r="B852" s="260"/>
      <c r="C852" s="260"/>
      <c r="D852" s="260"/>
      <c r="E852" s="260"/>
      <c r="F852" s="260"/>
      <c r="G852" s="260"/>
      <c r="H852" s="268" t="s">
        <v>1582</v>
      </c>
      <c r="I852" s="238"/>
      <c r="J852" s="262">
        <v>150</v>
      </c>
      <c r="K852" s="263" t="s">
        <v>1042</v>
      </c>
      <c r="L852" s="264">
        <v>35000</v>
      </c>
      <c r="M852" s="265">
        <f>+J852*L852</f>
        <v>5250000</v>
      </c>
      <c r="N852" s="262">
        <v>150</v>
      </c>
      <c r="O852" s="263" t="s">
        <v>1042</v>
      </c>
      <c r="P852" s="264">
        <v>35000</v>
      </c>
      <c r="Q852" s="266">
        <f>+N852*P852</f>
        <v>5250000</v>
      </c>
      <c r="R852" s="267">
        <f>IF(J852="","",Q852/M852)</f>
        <v>1</v>
      </c>
      <c r="S852" s="266">
        <f>+IF(W852="DDS",Q852,0)</f>
        <v>0</v>
      </c>
      <c r="T852" s="266">
        <f>+IF(W852="ADD",Q852,0)</f>
        <v>0</v>
      </c>
      <c r="U852" s="266">
        <f>+IF(W852="DDS",0,IF(W852="ADD",0,Q852))</f>
        <v>5250000</v>
      </c>
      <c r="V852" s="266">
        <v>0</v>
      </c>
    </row>
    <row r="853" spans="1:22" ht="27.95" hidden="1" customHeight="1">
      <c r="A853" s="260"/>
      <c r="B853" s="260"/>
      <c r="C853" s="260"/>
      <c r="D853" s="260"/>
      <c r="E853" s="260"/>
      <c r="F853" s="260"/>
      <c r="G853" s="260"/>
      <c r="H853" s="268" t="s">
        <v>1583</v>
      </c>
      <c r="I853" s="238"/>
      <c r="J853" s="262">
        <v>450</v>
      </c>
      <c r="K853" s="263" t="s">
        <v>1042</v>
      </c>
      <c r="L853" s="264">
        <v>10000</v>
      </c>
      <c r="M853" s="265">
        <f>+J853*L853</f>
        <v>4500000</v>
      </c>
      <c r="N853" s="262">
        <v>450</v>
      </c>
      <c r="O853" s="263" t="s">
        <v>1042</v>
      </c>
      <c r="P853" s="264">
        <v>10000</v>
      </c>
      <c r="Q853" s="266">
        <f>+N853*P853</f>
        <v>4500000</v>
      </c>
      <c r="R853" s="267">
        <f>IF(J853="","",Q853/M853)</f>
        <v>1</v>
      </c>
      <c r="S853" s="266">
        <f>+IF(W853="DDS",Q853,0)</f>
        <v>0</v>
      </c>
      <c r="T853" s="266">
        <f>+IF(W853="ADD",Q853,0)</f>
        <v>0</v>
      </c>
      <c r="U853" s="266">
        <f>+IF(W853="DDS",0,IF(W853="ADD",0,Q853))</f>
        <v>4500000</v>
      </c>
      <c r="V853" s="266">
        <v>0</v>
      </c>
    </row>
    <row r="854" spans="1:22" ht="27.95" hidden="1" customHeight="1">
      <c r="A854" s="260"/>
      <c r="B854" s="260"/>
      <c r="C854" s="260"/>
      <c r="D854" s="260"/>
      <c r="E854" s="260"/>
      <c r="F854" s="260"/>
      <c r="G854" s="260"/>
      <c r="H854" s="268" t="s">
        <v>1584</v>
      </c>
      <c r="I854" s="238"/>
      <c r="J854" s="262">
        <v>200</v>
      </c>
      <c r="K854" s="263" t="s">
        <v>1042</v>
      </c>
      <c r="L854" s="264">
        <v>35000</v>
      </c>
      <c r="M854" s="265">
        <f>+J854*L854</f>
        <v>7000000</v>
      </c>
      <c r="N854" s="262">
        <v>200</v>
      </c>
      <c r="O854" s="263" t="s">
        <v>1042</v>
      </c>
      <c r="P854" s="264">
        <v>35000</v>
      </c>
      <c r="Q854" s="266">
        <f>+N854*P854</f>
        <v>7000000</v>
      </c>
      <c r="R854" s="267">
        <f>IF(J854="","",Q854/M854)</f>
        <v>1</v>
      </c>
      <c r="S854" s="266">
        <f>+IF(W854="DDS",Q854,0)</f>
        <v>0</v>
      </c>
      <c r="T854" s="266">
        <f>+IF(W854="ADD",Q854,0)</f>
        <v>0</v>
      </c>
      <c r="U854" s="266">
        <f>+IF(W854="DDS",0,IF(W854="ADD",0,Q854))</f>
        <v>7000000</v>
      </c>
      <c r="V854" s="266">
        <v>0</v>
      </c>
    </row>
    <row r="855" spans="1:22" ht="27.95" hidden="1" customHeight="1">
      <c r="A855" s="260" t="s">
        <v>1083</v>
      </c>
      <c r="B855" s="260" t="s">
        <v>1002</v>
      </c>
      <c r="C855" s="260">
        <v>93</v>
      </c>
      <c r="D855" s="260" t="s">
        <v>363</v>
      </c>
      <c r="E855" s="260" t="s">
        <v>970</v>
      </c>
      <c r="F855" s="260" t="s">
        <v>362</v>
      </c>
      <c r="G855" s="260">
        <v>99</v>
      </c>
      <c r="H855" s="261" t="s">
        <v>1585</v>
      </c>
      <c r="I855" s="238"/>
      <c r="J855" s="262"/>
      <c r="K855" s="263"/>
      <c r="L855" s="264"/>
      <c r="M855" s="265"/>
      <c r="N855" s="266"/>
      <c r="O855" s="261"/>
      <c r="P855" s="266"/>
      <c r="Q855" s="266"/>
      <c r="R855" s="267"/>
      <c r="S855" s="266"/>
      <c r="T855" s="266"/>
      <c r="U855" s="266"/>
      <c r="V855" s="266"/>
    </row>
    <row r="856" spans="1:22" ht="27.95" hidden="1" customHeight="1">
      <c r="A856" s="260"/>
      <c r="B856" s="260"/>
      <c r="C856" s="260"/>
      <c r="D856" s="260"/>
      <c r="E856" s="260"/>
      <c r="F856" s="260"/>
      <c r="G856" s="260"/>
      <c r="H856" s="268" t="s">
        <v>1586</v>
      </c>
      <c r="I856" s="238"/>
      <c r="J856" s="262">
        <v>50</v>
      </c>
      <c r="K856" s="263" t="s">
        <v>1191</v>
      </c>
      <c r="L856" s="264">
        <v>25000</v>
      </c>
      <c r="M856" s="265">
        <f>+J856*L856</f>
        <v>1250000</v>
      </c>
      <c r="N856" s="262">
        <v>50</v>
      </c>
      <c r="O856" s="263" t="s">
        <v>1191</v>
      </c>
      <c r="P856" s="264">
        <v>25000</v>
      </c>
      <c r="Q856" s="266">
        <f>+N856*P856</f>
        <v>1250000</v>
      </c>
      <c r="R856" s="267">
        <f>IF(J856="","",Q856/M856)</f>
        <v>1</v>
      </c>
      <c r="S856" s="266">
        <f>+IF(W856="DDS",Q856,0)</f>
        <v>0</v>
      </c>
      <c r="T856" s="266">
        <f>+IF(W856="ADD",Q856,0)</f>
        <v>0</v>
      </c>
      <c r="U856" s="266">
        <f>+IF(W856="DDS",0,IF(W856="ADD",0,Q856))</f>
        <v>1250000</v>
      </c>
      <c r="V856" s="266">
        <v>0</v>
      </c>
    </row>
    <row r="857" spans="1:22" ht="27.95" hidden="1" customHeight="1">
      <c r="A857" s="260"/>
      <c r="B857" s="260"/>
      <c r="C857" s="260"/>
      <c r="D857" s="260"/>
      <c r="E857" s="260"/>
      <c r="F857" s="260"/>
      <c r="G857" s="260"/>
      <c r="H857" s="268" t="s">
        <v>1587</v>
      </c>
      <c r="I857" s="238"/>
      <c r="J857" s="262">
        <v>0</v>
      </c>
      <c r="K857" s="263" t="s">
        <v>1029</v>
      </c>
      <c r="L857" s="264">
        <v>0</v>
      </c>
      <c r="M857" s="265">
        <f>+J857*L857</f>
        <v>0</v>
      </c>
      <c r="N857" s="266">
        <v>0</v>
      </c>
      <c r="O857" s="261"/>
      <c r="P857" s="266">
        <v>0</v>
      </c>
      <c r="Q857" s="266">
        <f>+N857*P857</f>
        <v>0</v>
      </c>
      <c r="R857" s="267" t="e">
        <f>IF(J857="","",Q857/M857)</f>
        <v>#DIV/0!</v>
      </c>
      <c r="S857" s="266">
        <f>+IF(W857="DDS",Q857,0)</f>
        <v>0</v>
      </c>
      <c r="T857" s="266">
        <f>+IF(W857="ADD",Q857,0)</f>
        <v>0</v>
      </c>
      <c r="U857" s="266">
        <f>+IF(W857="DDS",0,IF(W857="ADD",0,Q857))</f>
        <v>0</v>
      </c>
      <c r="V857" s="266">
        <v>0</v>
      </c>
    </row>
    <row r="858" spans="1:22" ht="27.95" hidden="1" customHeight="1">
      <c r="A858" s="260" t="s">
        <v>1083</v>
      </c>
      <c r="B858" s="260" t="s">
        <v>1002</v>
      </c>
      <c r="C858" s="260">
        <v>93</v>
      </c>
      <c r="D858" s="252" t="s">
        <v>363</v>
      </c>
      <c r="E858" s="252" t="s">
        <v>970</v>
      </c>
      <c r="F858" s="252" t="s">
        <v>970</v>
      </c>
      <c r="G858" s="252" t="s">
        <v>959</v>
      </c>
      <c r="H858" s="253" t="s">
        <v>135</v>
      </c>
      <c r="I858" s="238"/>
      <c r="J858" s="254"/>
      <c r="K858" s="255"/>
      <c r="L858" s="256"/>
      <c r="M858" s="257">
        <f>SUM(M859:M861)</f>
        <v>12000000</v>
      </c>
      <c r="N858" s="266"/>
      <c r="O858" s="261"/>
      <c r="P858" s="266"/>
      <c r="Q858" s="257">
        <f>SUM(Q859:Q861)</f>
        <v>12000000</v>
      </c>
      <c r="R858" s="267"/>
      <c r="S858" s="257">
        <f>SUM(S859:S861)</f>
        <v>0</v>
      </c>
      <c r="T858" s="257">
        <f>SUM(T859:T861)</f>
        <v>0</v>
      </c>
      <c r="U858" s="257">
        <f>SUM(U859:U861)</f>
        <v>12000000</v>
      </c>
      <c r="V858" s="257">
        <f>SUM(V859:V861)</f>
        <v>0</v>
      </c>
    </row>
    <row r="859" spans="1:22" ht="27.95" hidden="1" customHeight="1">
      <c r="A859" s="260" t="s">
        <v>1083</v>
      </c>
      <c r="B859" s="260" t="s">
        <v>1002</v>
      </c>
      <c r="C859" s="260">
        <v>93</v>
      </c>
      <c r="D859" s="252" t="s">
        <v>363</v>
      </c>
      <c r="E859" s="252" t="s">
        <v>970</v>
      </c>
      <c r="F859" s="252" t="s">
        <v>970</v>
      </c>
      <c r="G859" s="252" t="s">
        <v>959</v>
      </c>
      <c r="H859" s="253" t="s">
        <v>135</v>
      </c>
      <c r="I859" s="238"/>
      <c r="J859" s="254"/>
      <c r="K859" s="255"/>
      <c r="L859" s="256"/>
      <c r="M859" s="257">
        <f>+SUM(M861:M861)</f>
        <v>6000000</v>
      </c>
      <c r="N859" s="266"/>
      <c r="O859" s="261"/>
      <c r="P859" s="266"/>
      <c r="Q859" s="257">
        <f>+SUM(Q861:Q861)</f>
        <v>6000000</v>
      </c>
      <c r="R859" s="267"/>
      <c r="S859" s="257">
        <f>+SUM(S861:S861)</f>
        <v>0</v>
      </c>
      <c r="T859" s="257">
        <f>+SUM(T861:T861)</f>
        <v>0</v>
      </c>
      <c r="U859" s="257">
        <f>+SUM(U861:U861)</f>
        <v>6000000</v>
      </c>
      <c r="V859" s="257">
        <f>+SUM(V861:V861)</f>
        <v>0</v>
      </c>
    </row>
    <row r="860" spans="1:22" ht="27.95" hidden="1" customHeight="1">
      <c r="A860" s="260" t="s">
        <v>1083</v>
      </c>
      <c r="B860" s="260" t="s">
        <v>1002</v>
      </c>
      <c r="C860" s="260">
        <v>93</v>
      </c>
      <c r="D860" s="260" t="s">
        <v>363</v>
      </c>
      <c r="E860" s="260" t="s">
        <v>970</v>
      </c>
      <c r="F860" s="260" t="s">
        <v>970</v>
      </c>
      <c r="G860" s="260" t="s">
        <v>1002</v>
      </c>
      <c r="H860" s="261" t="s">
        <v>1374</v>
      </c>
      <c r="I860" s="238"/>
      <c r="J860" s="262"/>
      <c r="K860" s="263"/>
      <c r="L860" s="264"/>
      <c r="M860" s="265"/>
      <c r="N860" s="266"/>
      <c r="O860" s="261"/>
      <c r="P860" s="266"/>
      <c r="Q860" s="266"/>
      <c r="R860" s="267"/>
      <c r="S860" s="266"/>
      <c r="T860" s="266"/>
      <c r="U860" s="266"/>
      <c r="V860" s="266"/>
    </row>
    <row r="861" spans="1:22" ht="27.95" hidden="1" customHeight="1">
      <c r="A861" s="260"/>
      <c r="B861" s="260"/>
      <c r="C861" s="260"/>
      <c r="D861" s="260"/>
      <c r="E861" s="260"/>
      <c r="F861" s="260"/>
      <c r="G861" s="269"/>
      <c r="H861" s="268" t="s">
        <v>1588</v>
      </c>
      <c r="I861" s="238"/>
      <c r="J861" s="262">
        <v>30</v>
      </c>
      <c r="K861" s="263" t="s">
        <v>1511</v>
      </c>
      <c r="L861" s="264">
        <v>200000</v>
      </c>
      <c r="M861" s="265">
        <f>+J861*L861</f>
        <v>6000000</v>
      </c>
      <c r="N861" s="262">
        <v>30</v>
      </c>
      <c r="O861" s="263" t="s">
        <v>1511</v>
      </c>
      <c r="P861" s="264">
        <v>200000</v>
      </c>
      <c r="Q861" s="266">
        <f>+N861*P861</f>
        <v>6000000</v>
      </c>
      <c r="R861" s="267">
        <f>IF(J861="","",Q861/M861)</f>
        <v>1</v>
      </c>
      <c r="S861" s="266">
        <f>+IF(W861="DDS",Q861,0)</f>
        <v>0</v>
      </c>
      <c r="T861" s="266">
        <f>+IF(W861="ADD",Q861,0)</f>
        <v>0</v>
      </c>
      <c r="U861" s="266">
        <f>+IF(W861="DDS",0,IF(W861="ADD",0,Q861))</f>
        <v>6000000</v>
      </c>
      <c r="V861" s="266">
        <v>0</v>
      </c>
    </row>
    <row r="862" spans="1:22" ht="27.95" hidden="1" customHeight="1">
      <c r="A862" s="260" t="s">
        <v>1083</v>
      </c>
      <c r="B862" s="260" t="s">
        <v>1002</v>
      </c>
      <c r="C862" s="260">
        <v>93</v>
      </c>
      <c r="D862" s="252" t="s">
        <v>363</v>
      </c>
      <c r="E862" s="252" t="s">
        <v>970</v>
      </c>
      <c r="F862" s="252">
        <v>4</v>
      </c>
      <c r="G862" s="252" t="s">
        <v>959</v>
      </c>
      <c r="H862" s="253" t="s">
        <v>137</v>
      </c>
      <c r="I862" s="238"/>
      <c r="J862" s="254"/>
      <c r="K862" s="255"/>
      <c r="L862" s="256"/>
      <c r="M862" s="257">
        <f>+SUM(M863:M865)</f>
        <v>27000000</v>
      </c>
      <c r="N862" s="266"/>
      <c r="O862" s="261"/>
      <c r="P862" s="266"/>
      <c r="Q862" s="257">
        <f>+SUM(Q863:Q865)</f>
        <v>27000000</v>
      </c>
      <c r="R862" s="267"/>
      <c r="S862" s="257">
        <f>+SUM(S863:S865)</f>
        <v>0</v>
      </c>
      <c r="T862" s="257">
        <f>+SUM(T863:T865)</f>
        <v>0</v>
      </c>
      <c r="U862" s="257">
        <f>+SUM(U863:U865)</f>
        <v>27000000</v>
      </c>
      <c r="V862" s="257">
        <f>+SUM(V863:V865)</f>
        <v>0</v>
      </c>
    </row>
    <row r="863" spans="1:22" ht="27.95" hidden="1" customHeight="1">
      <c r="A863" s="260" t="s">
        <v>1083</v>
      </c>
      <c r="B863" s="260" t="s">
        <v>1002</v>
      </c>
      <c r="C863" s="260">
        <v>93</v>
      </c>
      <c r="D863" s="260" t="s">
        <v>363</v>
      </c>
      <c r="E863" s="260" t="s">
        <v>970</v>
      </c>
      <c r="F863" s="260">
        <v>4</v>
      </c>
      <c r="G863" s="269" t="s">
        <v>963</v>
      </c>
      <c r="H863" s="261" t="s">
        <v>1589</v>
      </c>
      <c r="I863" s="238"/>
      <c r="J863" s="262"/>
      <c r="K863" s="263"/>
      <c r="L863" s="264"/>
      <c r="M863" s="265"/>
      <c r="N863" s="266"/>
      <c r="O863" s="261"/>
      <c r="P863" s="266"/>
      <c r="Q863" s="266"/>
      <c r="R863" s="267"/>
      <c r="S863" s="266"/>
      <c r="T863" s="266"/>
      <c r="U863" s="266"/>
      <c r="V863" s="266"/>
    </row>
    <row r="864" spans="1:22" ht="27.95" hidden="1" customHeight="1">
      <c r="A864" s="260"/>
      <c r="B864" s="260"/>
      <c r="C864" s="260"/>
      <c r="D864" s="260"/>
      <c r="E864" s="260"/>
      <c r="F864" s="260"/>
      <c r="G864" s="269"/>
      <c r="H864" s="268" t="s">
        <v>1590</v>
      </c>
      <c r="I864" s="238"/>
      <c r="J864" s="262">
        <v>1</v>
      </c>
      <c r="K864" s="263" t="s">
        <v>1029</v>
      </c>
      <c r="L864" s="264">
        <v>12000000</v>
      </c>
      <c r="M864" s="265">
        <f>+J864*L864</f>
        <v>12000000</v>
      </c>
      <c r="N864" s="262">
        <v>1</v>
      </c>
      <c r="O864" s="263" t="s">
        <v>1029</v>
      </c>
      <c r="P864" s="264">
        <v>12000000</v>
      </c>
      <c r="Q864" s="266">
        <f>+N864*P864</f>
        <v>12000000</v>
      </c>
      <c r="R864" s="267">
        <f>IF(J864="","",Q864/M864)</f>
        <v>1</v>
      </c>
      <c r="S864" s="266">
        <f>+IF(W864="DDS",Q864,0)</f>
        <v>0</v>
      </c>
      <c r="T864" s="266">
        <f>+IF(W864="ADD",Q864,0)</f>
        <v>0</v>
      </c>
      <c r="U864" s="266">
        <f>+IF(W864="DDS",0,IF(W864="ADD",0,Q864))</f>
        <v>12000000</v>
      </c>
      <c r="V864" s="266">
        <v>0</v>
      </c>
    </row>
    <row r="865" spans="1:22" ht="27.95" hidden="1" customHeight="1">
      <c r="A865" s="260"/>
      <c r="B865" s="260"/>
      <c r="C865" s="260"/>
      <c r="D865" s="260"/>
      <c r="E865" s="260"/>
      <c r="F865" s="260"/>
      <c r="G865" s="269"/>
      <c r="H865" s="268" t="s">
        <v>1591</v>
      </c>
      <c r="I865" s="238"/>
      <c r="J865" s="262">
        <v>120</v>
      </c>
      <c r="K865" s="263" t="s">
        <v>1509</v>
      </c>
      <c r="L865" s="264">
        <v>125000</v>
      </c>
      <c r="M865" s="265">
        <f>+J865*L865</f>
        <v>15000000</v>
      </c>
      <c r="N865" s="262">
        <v>120</v>
      </c>
      <c r="O865" s="263" t="s">
        <v>1509</v>
      </c>
      <c r="P865" s="264">
        <v>125000</v>
      </c>
      <c r="Q865" s="266">
        <f>+N865*P865</f>
        <v>15000000</v>
      </c>
      <c r="R865" s="267">
        <f>IF(J865="","",Q865/M865)</f>
        <v>1</v>
      </c>
      <c r="S865" s="266">
        <f>+IF(W865="DDS",Q865,0)</f>
        <v>0</v>
      </c>
      <c r="T865" s="266">
        <f>+IF(W865="ADD",Q865,0)</f>
        <v>0</v>
      </c>
      <c r="U865" s="266">
        <f>+IF(W865="DDS",0,IF(W865="ADD",0,Q865))</f>
        <v>15000000</v>
      </c>
      <c r="V865" s="266">
        <v>0</v>
      </c>
    </row>
    <row r="866" spans="1:22" ht="27.95" hidden="1" customHeight="1">
      <c r="A866" s="260"/>
      <c r="B866" s="260"/>
      <c r="C866" s="260"/>
      <c r="D866" s="260"/>
      <c r="E866" s="260"/>
      <c r="F866" s="260"/>
      <c r="G866" s="269"/>
      <c r="H866" s="268" t="s">
        <v>1592</v>
      </c>
      <c r="I866" s="238"/>
      <c r="J866" s="262">
        <v>1</v>
      </c>
      <c r="K866" s="263" t="s">
        <v>1029</v>
      </c>
      <c r="L866" s="264">
        <v>6000000</v>
      </c>
      <c r="M866" s="265">
        <f>+J866*L866</f>
        <v>6000000</v>
      </c>
      <c r="N866" s="262">
        <v>1</v>
      </c>
      <c r="O866" s="263" t="s">
        <v>1029</v>
      </c>
      <c r="P866" s="264">
        <v>6000000</v>
      </c>
      <c r="Q866" s="266">
        <f>+N866*P866</f>
        <v>6000000</v>
      </c>
      <c r="R866" s="267">
        <f>IF(J866="","",Q866/M866)</f>
        <v>1</v>
      </c>
      <c r="S866" s="266">
        <f>+IF(W866="DDS",Q866,0)</f>
        <v>0</v>
      </c>
      <c r="T866" s="266">
        <f>+IF(W866="ADD",Q866,0)</f>
        <v>0</v>
      </c>
      <c r="U866" s="266">
        <f>+IF(W866="DDS",0,IF(W866="ADD",0,Q866))</f>
        <v>6000000</v>
      </c>
      <c r="V866" s="266">
        <v>0</v>
      </c>
    </row>
    <row r="867" spans="1:22" ht="27.95" customHeight="1">
      <c r="A867" s="229" t="s">
        <v>1083</v>
      </c>
      <c r="B867" s="229">
        <v>5</v>
      </c>
      <c r="C867" s="229">
        <v>99</v>
      </c>
      <c r="D867" s="229" t="s">
        <v>1083</v>
      </c>
      <c r="E867" s="229">
        <v>5</v>
      </c>
      <c r="F867" s="229">
        <v>99</v>
      </c>
      <c r="G867" s="229" t="s">
        <v>959</v>
      </c>
      <c r="H867" s="238" t="s">
        <v>1593</v>
      </c>
      <c r="I867" s="238"/>
      <c r="J867" s="262"/>
      <c r="K867" s="263"/>
      <c r="L867" s="264"/>
      <c r="M867" s="234">
        <f>+M868</f>
        <v>4510000</v>
      </c>
      <c r="N867" s="262"/>
      <c r="O867" s="263"/>
      <c r="P867" s="264"/>
      <c r="Q867" s="234">
        <f>+Q868</f>
        <v>4510000</v>
      </c>
      <c r="R867" s="236">
        <f>Q867/M867*100%</f>
        <v>1</v>
      </c>
      <c r="S867" s="234">
        <f>+S868</f>
        <v>0</v>
      </c>
      <c r="T867" s="234">
        <f>+T868</f>
        <v>0</v>
      </c>
      <c r="U867" s="234">
        <f>+U868</f>
        <v>4510000</v>
      </c>
      <c r="V867" s="266"/>
    </row>
    <row r="868" spans="1:22" ht="27.95" hidden="1" customHeight="1">
      <c r="A868" s="260">
        <v>4</v>
      </c>
      <c r="B868" s="260">
        <v>5</v>
      </c>
      <c r="C868" s="260">
        <v>99</v>
      </c>
      <c r="D868" s="244" t="s">
        <v>363</v>
      </c>
      <c r="E868" s="244" t="s">
        <v>970</v>
      </c>
      <c r="F868" s="244" t="s">
        <v>959</v>
      </c>
      <c r="G868" s="244" t="s">
        <v>959</v>
      </c>
      <c r="H868" s="245" t="s">
        <v>1026</v>
      </c>
      <c r="I868" s="238"/>
      <c r="J868" s="262"/>
      <c r="K868" s="263"/>
      <c r="L868" s="264"/>
      <c r="M868" s="249">
        <f>M869</f>
        <v>4510000</v>
      </c>
      <c r="N868" s="262"/>
      <c r="O868" s="263"/>
      <c r="P868" s="264"/>
      <c r="Q868" s="249">
        <f>Q869</f>
        <v>4510000</v>
      </c>
      <c r="R868" s="267"/>
      <c r="S868" s="249">
        <f>S869</f>
        <v>0</v>
      </c>
      <c r="T868" s="249">
        <f>T869</f>
        <v>0</v>
      </c>
      <c r="U868" s="249">
        <f>U869</f>
        <v>4510000</v>
      </c>
      <c r="V868" s="266"/>
    </row>
    <row r="869" spans="1:22" ht="27.95" hidden="1" customHeight="1">
      <c r="A869" s="260">
        <v>4</v>
      </c>
      <c r="B869" s="260">
        <v>5</v>
      </c>
      <c r="C869" s="260">
        <v>99</v>
      </c>
      <c r="D869" s="252" t="s">
        <v>363</v>
      </c>
      <c r="E869" s="252" t="s">
        <v>970</v>
      </c>
      <c r="F869" s="252" t="s">
        <v>362</v>
      </c>
      <c r="G869" s="252" t="s">
        <v>959</v>
      </c>
      <c r="H869" s="253" t="s">
        <v>134</v>
      </c>
      <c r="I869" s="238"/>
      <c r="J869" s="262"/>
      <c r="K869" s="263"/>
      <c r="L869" s="264"/>
      <c r="M869" s="257">
        <f>+SUM(M870:M875)</f>
        <v>4510000</v>
      </c>
      <c r="N869" s="262"/>
      <c r="O869" s="263"/>
      <c r="P869" s="264"/>
      <c r="Q869" s="257">
        <f>+SUM(Q870:Q875)</f>
        <v>4510000</v>
      </c>
      <c r="R869" s="267"/>
      <c r="S869" s="257">
        <f>+SUM(S870:S875)</f>
        <v>0</v>
      </c>
      <c r="T869" s="257">
        <f>+SUM(T870:T875)</f>
        <v>0</v>
      </c>
      <c r="U869" s="257">
        <f>+SUM(U870:U875)</f>
        <v>4510000</v>
      </c>
      <c r="V869" s="266"/>
    </row>
    <row r="870" spans="1:22" ht="27.95" hidden="1" customHeight="1">
      <c r="A870" s="260">
        <v>4</v>
      </c>
      <c r="B870" s="260">
        <v>5</v>
      </c>
      <c r="C870" s="260">
        <v>99</v>
      </c>
      <c r="D870" s="260" t="s">
        <v>363</v>
      </c>
      <c r="E870" s="260" t="s">
        <v>970</v>
      </c>
      <c r="F870" s="260" t="s">
        <v>362</v>
      </c>
      <c r="G870" s="260" t="s">
        <v>960</v>
      </c>
      <c r="H870" s="261" t="s">
        <v>1027</v>
      </c>
      <c r="I870" s="238"/>
      <c r="J870" s="262">
        <v>1</v>
      </c>
      <c r="K870" s="263" t="s">
        <v>1029</v>
      </c>
      <c r="L870" s="264">
        <v>250000</v>
      </c>
      <c r="M870" s="265">
        <f>+J870*L870</f>
        <v>250000</v>
      </c>
      <c r="N870" s="262">
        <v>1</v>
      </c>
      <c r="O870" s="263" t="s">
        <v>1029</v>
      </c>
      <c r="P870" s="264">
        <v>250000</v>
      </c>
      <c r="Q870" s="266">
        <f>+N870*P870</f>
        <v>250000</v>
      </c>
      <c r="R870" s="267">
        <f>IF(J870="","",Q870/M870)</f>
        <v>1</v>
      </c>
      <c r="S870" s="266">
        <f>+IF(W870="DDS",Q870,0)</f>
        <v>0</v>
      </c>
      <c r="T870" s="266">
        <f>+IF(W870="ADD",Q870,0)</f>
        <v>0</v>
      </c>
      <c r="U870" s="266">
        <f>+IF(W870="DDS",0,IF(W870="ADD",0,Q870))</f>
        <v>250000</v>
      </c>
      <c r="V870" s="266">
        <v>0</v>
      </c>
    </row>
    <row r="871" spans="1:22" ht="27.95" hidden="1" customHeight="1">
      <c r="A871" s="260">
        <v>4</v>
      </c>
      <c r="B871" s="260">
        <v>5</v>
      </c>
      <c r="C871" s="260">
        <v>99</v>
      </c>
      <c r="D871" s="260" t="s">
        <v>363</v>
      </c>
      <c r="E871" s="260" t="s">
        <v>970</v>
      </c>
      <c r="F871" s="260" t="s">
        <v>362</v>
      </c>
      <c r="G871" s="260" t="s">
        <v>1038</v>
      </c>
      <c r="H871" s="261" t="s">
        <v>1090</v>
      </c>
      <c r="I871" s="238"/>
      <c r="J871" s="262">
        <v>1</v>
      </c>
      <c r="K871" s="263" t="s">
        <v>1029</v>
      </c>
      <c r="L871" s="264">
        <v>310000</v>
      </c>
      <c r="M871" s="265">
        <f>+J871*L871</f>
        <v>310000</v>
      </c>
      <c r="N871" s="262">
        <v>1</v>
      </c>
      <c r="O871" s="263" t="s">
        <v>1029</v>
      </c>
      <c r="P871" s="264">
        <v>310000</v>
      </c>
      <c r="Q871" s="266">
        <f>+N871*P871</f>
        <v>310000</v>
      </c>
      <c r="R871" s="267">
        <f>IF(J871="","",Q871/M871)</f>
        <v>1</v>
      </c>
      <c r="S871" s="266">
        <f>+IF(W871="DDS",Q871,0)</f>
        <v>0</v>
      </c>
      <c r="T871" s="266">
        <f>+IF(W871="ADD",Q871,0)</f>
        <v>0</v>
      </c>
      <c r="U871" s="266">
        <f>+IF(W871="DDS",0,IF(W871="ADD",0,Q871))</f>
        <v>310000</v>
      </c>
      <c r="V871" s="266">
        <v>0</v>
      </c>
    </row>
    <row r="872" spans="1:22" ht="27.95" hidden="1" customHeight="1">
      <c r="A872" s="260">
        <v>4</v>
      </c>
      <c r="B872" s="260">
        <v>5</v>
      </c>
      <c r="C872" s="260">
        <v>99</v>
      </c>
      <c r="D872" s="260" t="s">
        <v>363</v>
      </c>
      <c r="E872" s="260" t="s">
        <v>970</v>
      </c>
      <c r="F872" s="260" t="s">
        <v>362</v>
      </c>
      <c r="G872" s="260" t="s">
        <v>1040</v>
      </c>
      <c r="H872" s="261" t="s">
        <v>252</v>
      </c>
      <c r="I872" s="238"/>
      <c r="J872" s="262"/>
      <c r="K872" s="263"/>
      <c r="L872" s="264"/>
      <c r="M872" s="265"/>
      <c r="N872" s="262"/>
      <c r="O872" s="263"/>
      <c r="P872" s="264">
        <v>0</v>
      </c>
      <c r="Q872" s="266"/>
      <c r="R872" s="267"/>
      <c r="S872" s="266"/>
      <c r="T872" s="266"/>
      <c r="U872" s="266"/>
      <c r="V872" s="266"/>
    </row>
    <row r="873" spans="1:22" ht="27.95" hidden="1" customHeight="1">
      <c r="A873" s="260"/>
      <c r="B873" s="260"/>
      <c r="C873" s="260"/>
      <c r="D873" s="260"/>
      <c r="E873" s="260"/>
      <c r="F873" s="260"/>
      <c r="G873" s="260"/>
      <c r="H873" s="268" t="s">
        <v>1581</v>
      </c>
      <c r="I873" s="238"/>
      <c r="J873" s="262">
        <v>80</v>
      </c>
      <c r="K873" s="263" t="s">
        <v>1042</v>
      </c>
      <c r="L873" s="264">
        <v>10000</v>
      </c>
      <c r="M873" s="265">
        <f>+J873*L873</f>
        <v>800000</v>
      </c>
      <c r="N873" s="262">
        <f>47+33</f>
        <v>80</v>
      </c>
      <c r="O873" s="263" t="s">
        <v>1042</v>
      </c>
      <c r="P873" s="264">
        <v>10000</v>
      </c>
      <c r="Q873" s="266">
        <f>+N873*P873</f>
        <v>800000</v>
      </c>
      <c r="R873" s="267">
        <f>IF(J873="","",Q873/M873)</f>
        <v>1</v>
      </c>
      <c r="S873" s="266">
        <f>+IF(W873="DDS",Q873,0)</f>
        <v>0</v>
      </c>
      <c r="T873" s="266">
        <f>+IF(W873="ADD",Q873,0)</f>
        <v>0</v>
      </c>
      <c r="U873" s="266">
        <f>+IF(W873="DDS",0,IF(W873="ADD",0,Q873))</f>
        <v>800000</v>
      </c>
      <c r="V873" s="266">
        <v>0</v>
      </c>
    </row>
    <row r="874" spans="1:22" ht="27.95" hidden="1" customHeight="1">
      <c r="A874" s="260"/>
      <c r="B874" s="260"/>
      <c r="C874" s="260"/>
      <c r="D874" s="260"/>
      <c r="E874" s="260"/>
      <c r="F874" s="260"/>
      <c r="G874" s="260"/>
      <c r="H874" s="268" t="s">
        <v>1582</v>
      </c>
      <c r="I874" s="238"/>
      <c r="J874" s="262">
        <v>10</v>
      </c>
      <c r="K874" s="263" t="s">
        <v>1042</v>
      </c>
      <c r="L874" s="264">
        <v>35000</v>
      </c>
      <c r="M874" s="265">
        <f>+J874*L874</f>
        <v>350000</v>
      </c>
      <c r="N874" s="262">
        <v>10</v>
      </c>
      <c r="O874" s="263" t="s">
        <v>1042</v>
      </c>
      <c r="P874" s="264">
        <v>35000</v>
      </c>
      <c r="Q874" s="266">
        <f>+N874*P874</f>
        <v>350000</v>
      </c>
      <c r="R874" s="267">
        <f>IF(J874="","",Q874/M874)</f>
        <v>1</v>
      </c>
      <c r="S874" s="266">
        <f>+IF(W874="DDS",Q874,0)</f>
        <v>0</v>
      </c>
      <c r="T874" s="266">
        <f>+IF(W874="ADD",Q874,0)</f>
        <v>0</v>
      </c>
      <c r="U874" s="266">
        <f>+IF(W874="DDS",0,IF(W874="ADD",0,Q874))</f>
        <v>350000</v>
      </c>
      <c r="V874" s="266">
        <v>0</v>
      </c>
    </row>
    <row r="875" spans="1:22" ht="27.95" hidden="1" customHeight="1">
      <c r="A875" s="260"/>
      <c r="B875" s="260"/>
      <c r="C875" s="260"/>
      <c r="D875" s="260"/>
      <c r="E875" s="260"/>
      <c r="F875" s="260"/>
      <c r="G875" s="260"/>
      <c r="H875" s="268" t="s">
        <v>1583</v>
      </c>
      <c r="I875" s="238"/>
      <c r="J875" s="262">
        <v>80</v>
      </c>
      <c r="K875" s="263" t="s">
        <v>1042</v>
      </c>
      <c r="L875" s="264">
        <v>35000</v>
      </c>
      <c r="M875" s="265">
        <f>+J875*L875</f>
        <v>2800000</v>
      </c>
      <c r="N875" s="262">
        <v>80</v>
      </c>
      <c r="O875" s="263" t="s">
        <v>1042</v>
      </c>
      <c r="P875" s="264">
        <v>35000</v>
      </c>
      <c r="Q875" s="266">
        <f>+N875*P875</f>
        <v>2800000</v>
      </c>
      <c r="R875" s="267">
        <f>IF(J875="","",Q875/M875)</f>
        <v>1</v>
      </c>
      <c r="S875" s="266">
        <f>+IF(W875="DDS",Q875,0)</f>
        <v>0</v>
      </c>
      <c r="T875" s="266">
        <f>+IF(W875="ADD",Q875,0)</f>
        <v>0</v>
      </c>
      <c r="U875" s="266">
        <f>+IF(W875="DDS",0,IF(W875="ADD",0,Q875))</f>
        <v>2800000</v>
      </c>
      <c r="V875" s="266">
        <v>0</v>
      </c>
    </row>
    <row r="876" spans="1:22" ht="27.95" customHeight="1">
      <c r="A876" s="260"/>
      <c r="B876" s="260"/>
      <c r="C876" s="260"/>
      <c r="D876" s="229" t="s">
        <v>1083</v>
      </c>
      <c r="E876" s="270" t="s">
        <v>1040</v>
      </c>
      <c r="F876" s="229" t="s">
        <v>959</v>
      </c>
      <c r="G876" s="229" t="s">
        <v>959</v>
      </c>
      <c r="H876" s="238" t="s">
        <v>1594</v>
      </c>
      <c r="I876" s="238"/>
      <c r="J876" s="262"/>
      <c r="K876" s="263"/>
      <c r="L876" s="264"/>
      <c r="M876" s="234">
        <f>M877</f>
        <v>5085000</v>
      </c>
      <c r="N876" s="266"/>
      <c r="O876" s="261"/>
      <c r="P876" s="266">
        <v>0</v>
      </c>
      <c r="Q876" s="234">
        <f>Q877</f>
        <v>2350000</v>
      </c>
      <c r="R876" s="236">
        <f>Q876/M876*100%</f>
        <v>0.46214355948869223</v>
      </c>
      <c r="S876" s="234">
        <f>S877</f>
        <v>0</v>
      </c>
      <c r="T876" s="234">
        <f>T877</f>
        <v>0</v>
      </c>
      <c r="U876" s="234">
        <f>U877</f>
        <v>2350000</v>
      </c>
      <c r="V876" s="234">
        <f>V877</f>
        <v>0</v>
      </c>
    </row>
    <row r="877" spans="1:22" ht="27.95" customHeight="1">
      <c r="A877" s="260"/>
      <c r="B877" s="260"/>
      <c r="C877" s="260"/>
      <c r="D877" s="229">
        <v>4</v>
      </c>
      <c r="E877" s="270">
        <v>6</v>
      </c>
      <c r="F877" s="270" t="s">
        <v>963</v>
      </c>
      <c r="G877" s="229" t="s">
        <v>959</v>
      </c>
      <c r="H877" s="238" t="s">
        <v>1595</v>
      </c>
      <c r="I877" s="238" t="s">
        <v>1596</v>
      </c>
      <c r="J877" s="239"/>
      <c r="K877" s="240">
        <v>1</v>
      </c>
      <c r="L877" s="241" t="s">
        <v>386</v>
      </c>
      <c r="M877" s="234">
        <f>+M878</f>
        <v>5085000</v>
      </c>
      <c r="N877" s="266"/>
      <c r="O877" s="240">
        <v>1</v>
      </c>
      <c r="P877" s="241" t="s">
        <v>386</v>
      </c>
      <c r="Q877" s="234">
        <f>+Q878</f>
        <v>2350000</v>
      </c>
      <c r="R877" s="236">
        <f>Q877/M877*100%</f>
        <v>0.46214355948869223</v>
      </c>
      <c r="S877" s="234">
        <f>+S878</f>
        <v>0</v>
      </c>
      <c r="T877" s="234">
        <f>+T878</f>
        <v>0</v>
      </c>
      <c r="U877" s="234">
        <f>+U878</f>
        <v>2350000</v>
      </c>
      <c r="V877" s="234">
        <f>+V878</f>
        <v>0</v>
      </c>
    </row>
    <row r="878" spans="1:22" ht="27.95" hidden="1" customHeight="1">
      <c r="A878" s="260"/>
      <c r="B878" s="260"/>
      <c r="C878" s="260"/>
      <c r="D878" s="244" t="s">
        <v>363</v>
      </c>
      <c r="E878" s="244" t="s">
        <v>970</v>
      </c>
      <c r="F878" s="244" t="s">
        <v>959</v>
      </c>
      <c r="G878" s="244" t="s">
        <v>959</v>
      </c>
      <c r="H878" s="245" t="s">
        <v>1026</v>
      </c>
      <c r="I878" s="238"/>
      <c r="J878" s="246"/>
      <c r="K878" s="247"/>
      <c r="L878" s="248"/>
      <c r="M878" s="249">
        <f>+M879+M888</f>
        <v>5085000</v>
      </c>
      <c r="N878" s="266"/>
      <c r="O878" s="261"/>
      <c r="P878" s="266"/>
      <c r="Q878" s="249">
        <f>+Q879+Q888</f>
        <v>2350000</v>
      </c>
      <c r="R878" s="267"/>
      <c r="S878" s="249">
        <f>+S879+S888</f>
        <v>0</v>
      </c>
      <c r="T878" s="249">
        <f>+T879+T888</f>
        <v>0</v>
      </c>
      <c r="U878" s="249">
        <f>+U879+U888</f>
        <v>2350000</v>
      </c>
      <c r="V878" s="249">
        <f>+V879+V888</f>
        <v>0</v>
      </c>
    </row>
    <row r="879" spans="1:22" ht="27.95" hidden="1" customHeight="1">
      <c r="A879" s="260"/>
      <c r="B879" s="260"/>
      <c r="C879" s="260"/>
      <c r="D879" s="252" t="s">
        <v>363</v>
      </c>
      <c r="E879" s="252" t="s">
        <v>970</v>
      </c>
      <c r="F879" s="252" t="s">
        <v>362</v>
      </c>
      <c r="G879" s="252" t="s">
        <v>959</v>
      </c>
      <c r="H879" s="253" t="s">
        <v>134</v>
      </c>
      <c r="I879" s="238"/>
      <c r="J879" s="254"/>
      <c r="K879" s="255"/>
      <c r="L879" s="256"/>
      <c r="M879" s="257">
        <f>+SUM(M880:M887)</f>
        <v>5085000</v>
      </c>
      <c r="N879" s="266"/>
      <c r="O879" s="261"/>
      <c r="P879" s="266"/>
      <c r="Q879" s="257">
        <f>+SUM(Q882:Q887)</f>
        <v>2350000</v>
      </c>
      <c r="R879" s="267"/>
      <c r="S879" s="257">
        <f>+SUM(S882:S887)</f>
        <v>0</v>
      </c>
      <c r="T879" s="257">
        <f>+SUM(T882:T887)</f>
        <v>0</v>
      </c>
      <c r="U879" s="257">
        <f>+SUM(U882:U887)</f>
        <v>2350000</v>
      </c>
      <c r="V879" s="257">
        <f>+SUM(V882:V887)</f>
        <v>0</v>
      </c>
    </row>
    <row r="880" spans="1:22" ht="27.95" hidden="1" customHeight="1">
      <c r="A880" s="260"/>
      <c r="B880" s="260"/>
      <c r="C880" s="260"/>
      <c r="D880" s="260" t="s">
        <v>363</v>
      </c>
      <c r="E880" s="260" t="s">
        <v>970</v>
      </c>
      <c r="F880" s="260" t="s">
        <v>362</v>
      </c>
      <c r="G880" s="269" t="s">
        <v>960</v>
      </c>
      <c r="H880" s="261" t="s">
        <v>1597</v>
      </c>
      <c r="I880" s="238"/>
      <c r="J880" s="262">
        <v>1</v>
      </c>
      <c r="K880" s="263" t="s">
        <v>1029</v>
      </c>
      <c r="L880" s="264">
        <v>310000</v>
      </c>
      <c r="M880" s="265">
        <f>+J880*L880</f>
        <v>310000</v>
      </c>
      <c r="N880" s="266">
        <v>0</v>
      </c>
      <c r="O880" s="261"/>
      <c r="P880" s="266">
        <v>0</v>
      </c>
      <c r="Q880" s="266">
        <f>+N880*P880</f>
        <v>0</v>
      </c>
      <c r="R880" s="267">
        <f>IF(J880="","",Q880/M880)</f>
        <v>0</v>
      </c>
      <c r="S880" s="266">
        <f>+IF(W880="DDS",Q880,0)</f>
        <v>0</v>
      </c>
      <c r="T880" s="266">
        <f>+IF(W880="ADD",Q880,0)</f>
        <v>0</v>
      </c>
      <c r="U880" s="266">
        <f>+IF(W880="DDS",0,IF(W880="ADD",0,Q880))</f>
        <v>0</v>
      </c>
      <c r="V880" s="266">
        <v>0</v>
      </c>
    </row>
    <row r="881" spans="1:22" ht="27.95" hidden="1" customHeight="1">
      <c r="A881" s="260"/>
      <c r="B881" s="260"/>
      <c r="C881" s="260"/>
      <c r="D881" s="260" t="s">
        <v>363</v>
      </c>
      <c r="E881" s="260" t="s">
        <v>970</v>
      </c>
      <c r="F881" s="260" t="s">
        <v>362</v>
      </c>
      <c r="G881" s="269" t="s">
        <v>1038</v>
      </c>
      <c r="H881" s="261" t="s">
        <v>1598</v>
      </c>
      <c r="I881" s="238"/>
      <c r="J881" s="262">
        <v>1</v>
      </c>
      <c r="K881" s="263" t="s">
        <v>1029</v>
      </c>
      <c r="L881" s="264">
        <v>300000</v>
      </c>
      <c r="M881" s="265">
        <f>+J881*L881</f>
        <v>300000</v>
      </c>
      <c r="N881" s="266">
        <v>0</v>
      </c>
      <c r="O881" s="261"/>
      <c r="P881" s="266">
        <v>0</v>
      </c>
      <c r="Q881" s="266">
        <f>+N881*P881</f>
        <v>0</v>
      </c>
      <c r="R881" s="267">
        <f>IF(J881="","",Q881/M881)</f>
        <v>0</v>
      </c>
      <c r="S881" s="266">
        <f>+IF(W881="DDS",Q881,0)</f>
        <v>0</v>
      </c>
      <c r="T881" s="266">
        <f>+IF(W881="ADD",Q881,0)</f>
        <v>0</v>
      </c>
      <c r="U881" s="266">
        <f>+IF(W881="DDS",0,IF(W881="ADD",0,Q881))</f>
        <v>0</v>
      </c>
      <c r="V881" s="266">
        <v>0</v>
      </c>
    </row>
    <row r="882" spans="1:22" ht="27.95" hidden="1" customHeight="1">
      <c r="A882" s="260"/>
      <c r="B882" s="260"/>
      <c r="C882" s="260"/>
      <c r="D882" s="260" t="s">
        <v>363</v>
      </c>
      <c r="E882" s="260" t="s">
        <v>970</v>
      </c>
      <c r="F882" s="260" t="s">
        <v>362</v>
      </c>
      <c r="G882" s="260" t="s">
        <v>1040</v>
      </c>
      <c r="H882" s="261" t="s">
        <v>252</v>
      </c>
      <c r="I882" s="238"/>
      <c r="J882" s="262">
        <v>80</v>
      </c>
      <c r="K882" s="263" t="s">
        <v>1248</v>
      </c>
      <c r="L882" s="264">
        <v>35000</v>
      </c>
      <c r="M882" s="265">
        <f>+J882*L882</f>
        <v>2800000</v>
      </c>
      <c r="N882" s="262">
        <f>25+40</f>
        <v>65</v>
      </c>
      <c r="O882" s="263" t="s">
        <v>1248</v>
      </c>
      <c r="P882" s="264">
        <v>35000</v>
      </c>
      <c r="Q882" s="266">
        <f>+N882*P882</f>
        <v>2275000</v>
      </c>
      <c r="R882" s="267">
        <f>IF(J882="","",Q882/M882)</f>
        <v>0.8125</v>
      </c>
      <c r="S882" s="266">
        <f>+IF(W882="DDS",Q882,0)</f>
        <v>0</v>
      </c>
      <c r="T882" s="266">
        <f>+IF(W882="ADD",Q882,0)</f>
        <v>0</v>
      </c>
      <c r="U882" s="266">
        <f>+IF(W882="DDS",0,IF(W882="ADD",0,Q882))</f>
        <v>2275000</v>
      </c>
      <c r="V882" s="266">
        <v>0</v>
      </c>
    </row>
    <row r="883" spans="1:22" ht="27.95" hidden="1" customHeight="1">
      <c r="A883" s="260"/>
      <c r="B883" s="260"/>
      <c r="C883" s="260"/>
      <c r="D883" s="260" t="s">
        <v>363</v>
      </c>
      <c r="E883" s="260" t="s">
        <v>970</v>
      </c>
      <c r="F883" s="260" t="s">
        <v>362</v>
      </c>
      <c r="G883" s="260" t="s">
        <v>1040</v>
      </c>
      <c r="H883" s="261" t="s">
        <v>1599</v>
      </c>
      <c r="I883" s="238"/>
      <c r="J883" s="262">
        <v>100</v>
      </c>
      <c r="K883" s="263" t="s">
        <v>1248</v>
      </c>
      <c r="L883" s="264">
        <v>10000</v>
      </c>
      <c r="M883" s="265">
        <f>+J883*L883</f>
        <v>1000000</v>
      </c>
      <c r="N883" s="266">
        <v>0</v>
      </c>
      <c r="O883" s="261"/>
      <c r="P883" s="266">
        <v>0</v>
      </c>
      <c r="Q883" s="266">
        <f>+N883*P883</f>
        <v>0</v>
      </c>
      <c r="R883" s="267">
        <f>IF(J883="","",Q883/M883)</f>
        <v>0</v>
      </c>
      <c r="S883" s="266">
        <f>+IF(W883="DDS",Q883,0)</f>
        <v>0</v>
      </c>
      <c r="T883" s="266">
        <f>+IF(W883="ADD",Q883,0)</f>
        <v>0</v>
      </c>
      <c r="U883" s="266">
        <f>+IF(W883="DDS",0,IF(W883="ADD",0,Q883))</f>
        <v>0</v>
      </c>
      <c r="V883" s="266">
        <v>0</v>
      </c>
    </row>
    <row r="884" spans="1:22" ht="27.95" hidden="1" customHeight="1">
      <c r="A884" s="260"/>
      <c r="B884" s="260"/>
      <c r="C884" s="260"/>
      <c r="D884" s="260">
        <v>5</v>
      </c>
      <c r="E884" s="260">
        <v>2</v>
      </c>
      <c r="F884" s="260">
        <v>1</v>
      </c>
      <c r="G884" s="260">
        <v>99</v>
      </c>
      <c r="H884" s="261" t="s">
        <v>258</v>
      </c>
      <c r="I884" s="238"/>
      <c r="J884" s="262"/>
      <c r="K884" s="263"/>
      <c r="L884" s="264"/>
      <c r="M884" s="265"/>
      <c r="N884" s="266"/>
      <c r="O884" s="261"/>
      <c r="P884" s="266"/>
      <c r="Q884" s="266"/>
      <c r="R884" s="267"/>
      <c r="S884" s="266"/>
      <c r="T884" s="266"/>
      <c r="U884" s="266"/>
      <c r="V884" s="266"/>
    </row>
    <row r="885" spans="1:22" ht="27.95" hidden="1" customHeight="1">
      <c r="A885" s="260"/>
      <c r="B885" s="260"/>
      <c r="C885" s="260"/>
      <c r="D885" s="260"/>
      <c r="E885" s="260"/>
      <c r="F885" s="260"/>
      <c r="G885" s="260"/>
      <c r="H885" s="268" t="s">
        <v>1225</v>
      </c>
      <c r="I885" s="238"/>
      <c r="J885" s="262">
        <v>3</v>
      </c>
      <c r="K885" s="263" t="s">
        <v>1191</v>
      </c>
      <c r="L885" s="264">
        <v>25000</v>
      </c>
      <c r="M885" s="265">
        <f>+J885*L885</f>
        <v>75000</v>
      </c>
      <c r="N885" s="262">
        <v>3</v>
      </c>
      <c r="O885" s="263" t="s">
        <v>1191</v>
      </c>
      <c r="P885" s="264">
        <v>25000</v>
      </c>
      <c r="Q885" s="266">
        <f>+N885*P885</f>
        <v>75000</v>
      </c>
      <c r="R885" s="267">
        <f>IF(J885="","",Q885/M885)</f>
        <v>1</v>
      </c>
      <c r="S885" s="266">
        <f>+IF(W885="DDS",Q885,0)</f>
        <v>0</v>
      </c>
      <c r="T885" s="266">
        <f>+IF(W885="ADD",Q885,0)</f>
        <v>0</v>
      </c>
      <c r="U885" s="266">
        <f>+IF(W885="DDS",0,IF(W885="ADD",0,Q885))</f>
        <v>75000</v>
      </c>
      <c r="V885" s="266">
        <v>0</v>
      </c>
    </row>
    <row r="886" spans="1:22" ht="27.95" hidden="1" customHeight="1">
      <c r="A886" s="260"/>
      <c r="B886" s="260"/>
      <c r="C886" s="260"/>
      <c r="D886" s="252">
        <v>5</v>
      </c>
      <c r="E886" s="252">
        <v>2</v>
      </c>
      <c r="F886" s="252">
        <v>2</v>
      </c>
      <c r="G886" s="252"/>
      <c r="H886" s="253" t="s">
        <v>1278</v>
      </c>
      <c r="I886" s="238"/>
      <c r="J886" s="254"/>
      <c r="K886" s="255"/>
      <c r="L886" s="256"/>
      <c r="M886" s="257"/>
      <c r="N886" s="266"/>
      <c r="O886" s="261"/>
      <c r="P886" s="266"/>
      <c r="Q886" s="266"/>
      <c r="R886" s="267"/>
      <c r="S886" s="266"/>
      <c r="T886" s="266"/>
      <c r="U886" s="266"/>
      <c r="V886" s="266"/>
    </row>
    <row r="887" spans="1:22" ht="27.95" hidden="1" customHeight="1">
      <c r="A887" s="260"/>
      <c r="B887" s="260"/>
      <c r="C887" s="260"/>
      <c r="D887" s="260">
        <v>5</v>
      </c>
      <c r="E887" s="260">
        <v>2</v>
      </c>
      <c r="F887" s="260">
        <v>2</v>
      </c>
      <c r="G887" s="269" t="s">
        <v>1002</v>
      </c>
      <c r="H887" s="268" t="s">
        <v>1481</v>
      </c>
      <c r="I887" s="238"/>
      <c r="J887" s="262">
        <v>6</v>
      </c>
      <c r="K887" s="263" t="s">
        <v>1199</v>
      </c>
      <c r="L887" s="264">
        <v>100000</v>
      </c>
      <c r="M887" s="265">
        <f>+J887*L887</f>
        <v>600000</v>
      </c>
      <c r="N887" s="266">
        <v>0</v>
      </c>
      <c r="O887" s="261"/>
      <c r="P887" s="266">
        <v>0</v>
      </c>
      <c r="Q887" s="266">
        <f>+N887*P887</f>
        <v>0</v>
      </c>
      <c r="R887" s="267">
        <f>IF(J887="","",Q887/M887)</f>
        <v>0</v>
      </c>
      <c r="S887" s="266">
        <f>+IF(W887="DDS",Q887,0)</f>
        <v>0</v>
      </c>
      <c r="T887" s="266">
        <f>+IF(W887="ADD",Q887,0)</f>
        <v>0</v>
      </c>
      <c r="U887" s="266">
        <f>+IF(W887="DDS",0,IF(W887="ADD",0,Q887))</f>
        <v>0</v>
      </c>
      <c r="V887" s="266">
        <v>0</v>
      </c>
    </row>
    <row r="888" spans="1:22" ht="27.95" hidden="1" customHeight="1">
      <c r="A888" s="260"/>
      <c r="B888" s="260"/>
      <c r="C888" s="260"/>
      <c r="D888" s="252" t="s">
        <v>363</v>
      </c>
      <c r="E888" s="252" t="s">
        <v>970</v>
      </c>
      <c r="F888" s="252">
        <v>3</v>
      </c>
      <c r="G888" s="252" t="s">
        <v>959</v>
      </c>
      <c r="H888" s="288" t="s">
        <v>136</v>
      </c>
      <c r="I888" s="238"/>
      <c r="J888" s="254"/>
      <c r="K888" s="255"/>
      <c r="L888" s="256"/>
      <c r="M888" s="257">
        <f>+SUM(M889:M890)</f>
        <v>0</v>
      </c>
      <c r="N888" s="266"/>
      <c r="O888" s="261"/>
      <c r="P888" s="266"/>
      <c r="Q888" s="257">
        <f>+SUM(Q889:Q890)</f>
        <v>0</v>
      </c>
      <c r="R888" s="267"/>
      <c r="S888" s="257">
        <f>+SUM(S889:S890)</f>
        <v>0</v>
      </c>
      <c r="T888" s="257">
        <f>+SUM(T889:T890)</f>
        <v>0</v>
      </c>
      <c r="U888" s="257">
        <f>+SUM(U889:U890)</f>
        <v>0</v>
      </c>
      <c r="V888" s="257">
        <f>+SUM(V889:V890)</f>
        <v>0</v>
      </c>
    </row>
    <row r="889" spans="1:22" ht="27.95" hidden="1" customHeight="1">
      <c r="A889" s="260"/>
      <c r="B889" s="260"/>
      <c r="C889" s="260"/>
      <c r="D889" s="260" t="s">
        <v>363</v>
      </c>
      <c r="E889" s="260" t="s">
        <v>970</v>
      </c>
      <c r="F889" s="260">
        <v>3</v>
      </c>
      <c r="G889" s="269" t="s">
        <v>960</v>
      </c>
      <c r="H889" s="278" t="s">
        <v>1477</v>
      </c>
      <c r="I889" s="238"/>
      <c r="J889" s="262"/>
      <c r="K889" s="263"/>
      <c r="L889" s="264"/>
      <c r="M889" s="265"/>
      <c r="N889" s="266"/>
      <c r="O889" s="261"/>
      <c r="P889" s="266"/>
      <c r="Q889" s="266"/>
      <c r="R889" s="267"/>
      <c r="S889" s="266"/>
      <c r="T889" s="266"/>
      <c r="U889" s="266"/>
      <c r="V889" s="266"/>
    </row>
    <row r="890" spans="1:22" ht="27.95" hidden="1" customHeight="1">
      <c r="A890" s="260"/>
      <c r="B890" s="260"/>
      <c r="C890" s="260"/>
      <c r="D890" s="260"/>
      <c r="E890" s="260"/>
      <c r="F890" s="260"/>
      <c r="G890" s="260"/>
      <c r="H890" s="290" t="s">
        <v>1482</v>
      </c>
      <c r="I890" s="238"/>
      <c r="J890" s="262">
        <v>0</v>
      </c>
      <c r="K890" s="263" t="s">
        <v>1209</v>
      </c>
      <c r="L890" s="264">
        <v>0</v>
      </c>
      <c r="M890" s="265">
        <f>+J890*L890</f>
        <v>0</v>
      </c>
      <c r="N890" s="266">
        <v>0</v>
      </c>
      <c r="O890" s="261"/>
      <c r="P890" s="266">
        <v>0</v>
      </c>
      <c r="Q890" s="266">
        <f>+N890*P890</f>
        <v>0</v>
      </c>
      <c r="R890" s="267" t="e">
        <f>IF(J890="","",Q890/M890)</f>
        <v>#DIV/0!</v>
      </c>
      <c r="S890" s="266">
        <f>+IF(W890="DDS",Q890,0)</f>
        <v>0</v>
      </c>
      <c r="T890" s="266">
        <f>+IF(W890="ADD",Q890,0)</f>
        <v>0</v>
      </c>
      <c r="U890" s="266">
        <f>+IF(W890="DDS",0,IF(W890="ADD",0,Q890))</f>
        <v>0</v>
      </c>
      <c r="V890" s="266">
        <v>0</v>
      </c>
    </row>
    <row r="891" spans="1:22" ht="27.95" customHeight="1">
      <c r="A891" s="260"/>
      <c r="B891" s="260"/>
      <c r="C891" s="260"/>
      <c r="D891" s="229" t="s">
        <v>1083</v>
      </c>
      <c r="E891" s="270">
        <v>7</v>
      </c>
      <c r="F891" s="229" t="s">
        <v>959</v>
      </c>
      <c r="G891" s="229" t="s">
        <v>959</v>
      </c>
      <c r="H891" s="238" t="s">
        <v>183</v>
      </c>
      <c r="I891" s="238"/>
      <c r="J891" s="231"/>
      <c r="K891" s="232"/>
      <c r="L891" s="237"/>
      <c r="M891" s="234">
        <f>M892</f>
        <v>5155000</v>
      </c>
      <c r="N891" s="266"/>
      <c r="O891" s="261"/>
      <c r="P891" s="266"/>
      <c r="Q891" s="234">
        <f>Q892+Q908</f>
        <v>5155000</v>
      </c>
      <c r="R891" s="236">
        <f>Q891/M891*100%</f>
        <v>1</v>
      </c>
      <c r="S891" s="234">
        <f>S892+S908</f>
        <v>0</v>
      </c>
      <c r="T891" s="234">
        <f>T892+T908</f>
        <v>0</v>
      </c>
      <c r="U891" s="234">
        <f>U892+U908</f>
        <v>5155000</v>
      </c>
      <c r="V891" s="234">
        <f>V892+V908</f>
        <v>0</v>
      </c>
    </row>
    <row r="892" spans="1:22" ht="27.95" customHeight="1">
      <c r="A892" s="260"/>
      <c r="B892" s="260"/>
      <c r="C892" s="260"/>
      <c r="D892" s="229">
        <v>4</v>
      </c>
      <c r="E892" s="270">
        <v>7</v>
      </c>
      <c r="F892" s="270" t="s">
        <v>1002</v>
      </c>
      <c r="G892" s="229" t="s">
        <v>959</v>
      </c>
      <c r="H892" s="238" t="s">
        <v>1600</v>
      </c>
      <c r="I892" s="238" t="s">
        <v>1601</v>
      </c>
      <c r="J892" s="239"/>
      <c r="K892" s="240">
        <v>1</v>
      </c>
      <c r="L892" s="241" t="s">
        <v>386</v>
      </c>
      <c r="M892" s="234">
        <f>+M893</f>
        <v>5155000</v>
      </c>
      <c r="N892" s="266"/>
      <c r="O892" s="240">
        <v>1</v>
      </c>
      <c r="P892" s="241" t="s">
        <v>386</v>
      </c>
      <c r="Q892" s="234">
        <f>+Q893</f>
        <v>5155000</v>
      </c>
      <c r="R892" s="236">
        <f>Q892/M892*100%</f>
        <v>1</v>
      </c>
      <c r="S892" s="234">
        <f>+S893</f>
        <v>0</v>
      </c>
      <c r="T892" s="234">
        <f>+T893</f>
        <v>0</v>
      </c>
      <c r="U892" s="234">
        <f>+U893</f>
        <v>5155000</v>
      </c>
      <c r="V892" s="234">
        <f>+V893</f>
        <v>0</v>
      </c>
    </row>
    <row r="893" spans="1:22" ht="27.95" hidden="1" customHeight="1">
      <c r="A893" s="260"/>
      <c r="B893" s="260"/>
      <c r="C893" s="260"/>
      <c r="D893" s="244" t="s">
        <v>363</v>
      </c>
      <c r="E893" s="244" t="s">
        <v>970</v>
      </c>
      <c r="F893" s="244" t="s">
        <v>959</v>
      </c>
      <c r="G893" s="244" t="s">
        <v>959</v>
      </c>
      <c r="H893" s="245" t="s">
        <v>1026</v>
      </c>
      <c r="I893" s="238"/>
      <c r="J893" s="246"/>
      <c r="K893" s="247"/>
      <c r="L893" s="248"/>
      <c r="M893" s="249">
        <f>+M894+M901</f>
        <v>5155000</v>
      </c>
      <c r="N893" s="266"/>
      <c r="O893" s="261"/>
      <c r="P893" s="266"/>
      <c r="Q893" s="249">
        <f>+Q894+Q901</f>
        <v>5155000</v>
      </c>
      <c r="R893" s="267"/>
      <c r="S893" s="249">
        <f>+S894+S901</f>
        <v>0</v>
      </c>
      <c r="T893" s="249">
        <f>+T894+T901</f>
        <v>0</v>
      </c>
      <c r="U893" s="249">
        <f>+U894+U901</f>
        <v>5155000</v>
      </c>
      <c r="V893" s="249">
        <f>+V894+V901</f>
        <v>0</v>
      </c>
    </row>
    <row r="894" spans="1:22" ht="27.95" hidden="1" customHeight="1">
      <c r="A894" s="260"/>
      <c r="B894" s="260"/>
      <c r="C894" s="260"/>
      <c r="D894" s="252" t="s">
        <v>363</v>
      </c>
      <c r="E894" s="252" t="s">
        <v>970</v>
      </c>
      <c r="F894" s="252" t="s">
        <v>362</v>
      </c>
      <c r="G894" s="252" t="s">
        <v>959</v>
      </c>
      <c r="H894" s="253" t="s">
        <v>134</v>
      </c>
      <c r="I894" s="238"/>
      <c r="J894" s="254"/>
      <c r="K894" s="255"/>
      <c r="L894" s="256"/>
      <c r="M894" s="257">
        <f>+SUM(M895:M900)</f>
        <v>4075000</v>
      </c>
      <c r="N894" s="266"/>
      <c r="O894" s="261"/>
      <c r="P894" s="266"/>
      <c r="Q894" s="257">
        <f>+SUM(Q895:Q900)</f>
        <v>4075000</v>
      </c>
      <c r="R894" s="267"/>
      <c r="S894" s="257">
        <f>+SUM(S895:S900)</f>
        <v>0</v>
      </c>
      <c r="T894" s="257">
        <f>+SUM(T895:T900)</f>
        <v>0</v>
      </c>
      <c r="U894" s="257">
        <f>+SUM(U895:U900)</f>
        <v>4075000</v>
      </c>
      <c r="V894" s="257">
        <f>+SUM(V895:V900)</f>
        <v>0</v>
      </c>
    </row>
    <row r="895" spans="1:22" ht="27.95" hidden="1" customHeight="1">
      <c r="A895" s="260"/>
      <c r="B895" s="260"/>
      <c r="C895" s="260"/>
      <c r="D895" s="260" t="s">
        <v>363</v>
      </c>
      <c r="E895" s="260" t="s">
        <v>970</v>
      </c>
      <c r="F895" s="260" t="s">
        <v>362</v>
      </c>
      <c r="G895" s="260" t="s">
        <v>1040</v>
      </c>
      <c r="H895" s="261" t="s">
        <v>252</v>
      </c>
      <c r="I895" s="238"/>
      <c r="J895" s="262">
        <v>40</v>
      </c>
      <c r="K895" s="263" t="s">
        <v>1248</v>
      </c>
      <c r="L895" s="264">
        <v>35000</v>
      </c>
      <c r="M895" s="265">
        <f>+J895*L895</f>
        <v>1400000</v>
      </c>
      <c r="N895" s="262">
        <v>40</v>
      </c>
      <c r="O895" s="263" t="s">
        <v>1248</v>
      </c>
      <c r="P895" s="264">
        <v>35000</v>
      </c>
      <c r="Q895" s="265">
        <f>+N895*P895</f>
        <v>1400000</v>
      </c>
      <c r="R895" s="267">
        <f>IF(J895="","",Q895/M895)</f>
        <v>1</v>
      </c>
      <c r="S895" s="266">
        <f>+IF(W895="DDS",Q895,0)</f>
        <v>0</v>
      </c>
      <c r="T895" s="266">
        <f>+IF(W895="ADD",Q895,0)</f>
        <v>0</v>
      </c>
      <c r="U895" s="266">
        <f>+IF(W895="DDS",0,IF(W895="ADD",0,Q895))</f>
        <v>1400000</v>
      </c>
      <c r="V895" s="266">
        <v>0</v>
      </c>
    </row>
    <row r="896" spans="1:22" ht="27.95" hidden="1" customHeight="1">
      <c r="A896" s="260"/>
      <c r="B896" s="260"/>
      <c r="C896" s="260"/>
      <c r="D896" s="260">
        <v>5</v>
      </c>
      <c r="E896" s="260">
        <v>2</v>
      </c>
      <c r="F896" s="260">
        <v>1</v>
      </c>
      <c r="G896" s="260">
        <v>99</v>
      </c>
      <c r="H896" s="261" t="s">
        <v>1476</v>
      </c>
      <c r="I896" s="238"/>
      <c r="J896" s="262"/>
      <c r="K896" s="263"/>
      <c r="L896" s="264"/>
      <c r="M896" s="265"/>
      <c r="N896" s="266"/>
      <c r="O896" s="261"/>
      <c r="P896" s="266"/>
      <c r="Q896" s="266"/>
      <c r="R896" s="267"/>
      <c r="S896" s="266"/>
      <c r="T896" s="266"/>
      <c r="U896" s="266"/>
      <c r="V896" s="266"/>
    </row>
    <row r="897" spans="1:22" ht="27.95" hidden="1" customHeight="1">
      <c r="A897" s="260"/>
      <c r="B897" s="260"/>
      <c r="C897" s="260"/>
      <c r="D897" s="260"/>
      <c r="E897" s="260"/>
      <c r="F897" s="260"/>
      <c r="G897" s="260"/>
      <c r="H897" s="268" t="s">
        <v>1225</v>
      </c>
      <c r="I897" s="238"/>
      <c r="J897" s="262">
        <v>3</v>
      </c>
      <c r="K897" s="263" t="s">
        <v>1191</v>
      </c>
      <c r="L897" s="264">
        <v>25000</v>
      </c>
      <c r="M897" s="265">
        <f>+J897*L897</f>
        <v>75000</v>
      </c>
      <c r="N897" s="262">
        <v>3</v>
      </c>
      <c r="O897" s="263" t="s">
        <v>1191</v>
      </c>
      <c r="P897" s="264">
        <v>25000</v>
      </c>
      <c r="Q897" s="266">
        <f>+N897*P897</f>
        <v>75000</v>
      </c>
      <c r="R897" s="267">
        <f>IF(J897="","",Q897/M897)</f>
        <v>1</v>
      </c>
      <c r="S897" s="266">
        <f>+IF(W897="DDS",Q897,0)</f>
        <v>0</v>
      </c>
      <c r="T897" s="266">
        <f>+IF(W897="ADD",Q897,0)</f>
        <v>0</v>
      </c>
      <c r="U897" s="266">
        <f>+IF(W897="DDS",0,IF(W897="ADD",0,Q897))</f>
        <v>75000</v>
      </c>
      <c r="V897" s="266">
        <v>0</v>
      </c>
    </row>
    <row r="898" spans="1:22" ht="27.95" hidden="1" customHeight="1">
      <c r="A898" s="260"/>
      <c r="B898" s="260"/>
      <c r="C898" s="260"/>
      <c r="D898" s="260"/>
      <c r="E898" s="260"/>
      <c r="F898" s="260"/>
      <c r="G898" s="260"/>
      <c r="H898" s="268" t="s">
        <v>1486</v>
      </c>
      <c r="I898" s="238"/>
      <c r="J898" s="262">
        <v>1</v>
      </c>
      <c r="K898" s="263" t="s">
        <v>1029</v>
      </c>
      <c r="L898" s="264">
        <v>2000000</v>
      </c>
      <c r="M898" s="265">
        <f>+J898*L898</f>
        <v>2000000</v>
      </c>
      <c r="N898" s="262">
        <v>1</v>
      </c>
      <c r="O898" s="263" t="s">
        <v>1029</v>
      </c>
      <c r="P898" s="264">
        <v>2000000</v>
      </c>
      <c r="Q898" s="265">
        <f>+N898*P898</f>
        <v>2000000</v>
      </c>
      <c r="R898" s="267">
        <f>IF(J898="","",Q898/M898)</f>
        <v>1</v>
      </c>
      <c r="S898" s="266">
        <f>+IF(W898="DDS",Q898,0)</f>
        <v>0</v>
      </c>
      <c r="T898" s="266">
        <f>+IF(W898="ADD",Q898,0)</f>
        <v>0</v>
      </c>
      <c r="U898" s="266">
        <f>+IF(W898="DDS",0,IF(W898="ADD",0,Q898))</f>
        <v>2000000</v>
      </c>
      <c r="V898" s="266">
        <v>0</v>
      </c>
    </row>
    <row r="899" spans="1:22" ht="27.95" hidden="1" customHeight="1">
      <c r="A899" s="260"/>
      <c r="B899" s="260"/>
      <c r="C899" s="260"/>
      <c r="D899" s="252">
        <v>5</v>
      </c>
      <c r="E899" s="252">
        <v>2</v>
      </c>
      <c r="F899" s="252">
        <v>2</v>
      </c>
      <c r="G899" s="252"/>
      <c r="H899" s="253" t="s">
        <v>1278</v>
      </c>
      <c r="I899" s="238"/>
      <c r="J899" s="254"/>
      <c r="K899" s="255"/>
      <c r="L899" s="256"/>
      <c r="M899" s="257"/>
      <c r="N899" s="266">
        <v>0</v>
      </c>
      <c r="O899" s="261"/>
      <c r="P899" s="266">
        <v>0</v>
      </c>
      <c r="Q899" s="266">
        <f>+N899*P899</f>
        <v>0</v>
      </c>
      <c r="R899" s="267" t="str">
        <f>IF(J899="","",Q899/M899)</f>
        <v/>
      </c>
      <c r="S899" s="266">
        <f>+IF(W899="DDS",Q899,0)</f>
        <v>0</v>
      </c>
      <c r="T899" s="266">
        <f>+IF(W899="ADD",Q899,0)</f>
        <v>0</v>
      </c>
      <c r="U899" s="266">
        <f>+IF(W899="DDS",0,IF(W899="ADD",0,Q899))</f>
        <v>0</v>
      </c>
      <c r="V899" s="266">
        <v>0</v>
      </c>
    </row>
    <row r="900" spans="1:22" ht="27.95" hidden="1" customHeight="1">
      <c r="A900" s="260"/>
      <c r="B900" s="260"/>
      <c r="C900" s="260"/>
      <c r="D900" s="260">
        <v>5</v>
      </c>
      <c r="E900" s="260">
        <v>2</v>
      </c>
      <c r="F900" s="260">
        <v>2</v>
      </c>
      <c r="G900" s="269" t="s">
        <v>1002</v>
      </c>
      <c r="H900" s="268" t="s">
        <v>1481</v>
      </c>
      <c r="I900" s="238"/>
      <c r="J900" s="262">
        <v>6</v>
      </c>
      <c r="K900" s="263" t="s">
        <v>1199</v>
      </c>
      <c r="L900" s="264">
        <v>100000</v>
      </c>
      <c r="M900" s="265">
        <f>+J900*L900</f>
        <v>600000</v>
      </c>
      <c r="N900" s="262">
        <v>6</v>
      </c>
      <c r="O900" s="263" t="s">
        <v>1199</v>
      </c>
      <c r="P900" s="264">
        <v>100000</v>
      </c>
      <c r="Q900" s="266">
        <f>+N900*P900</f>
        <v>600000</v>
      </c>
      <c r="R900" s="267">
        <f>IF(J900="","",Q900/M900)</f>
        <v>1</v>
      </c>
      <c r="S900" s="266">
        <f>+IF(W900="DDS",Q900,0)</f>
        <v>0</v>
      </c>
      <c r="T900" s="266">
        <f>+IF(W900="ADD",Q900,0)</f>
        <v>0</v>
      </c>
      <c r="U900" s="266">
        <f>+IF(W900="DDS",0,IF(W900="ADD",0,Q900))</f>
        <v>600000</v>
      </c>
      <c r="V900" s="266">
        <v>0</v>
      </c>
    </row>
    <row r="901" spans="1:22" ht="27.95" hidden="1" customHeight="1">
      <c r="A901" s="260"/>
      <c r="B901" s="260"/>
      <c r="C901" s="260"/>
      <c r="D901" s="252" t="s">
        <v>363</v>
      </c>
      <c r="E901" s="252" t="s">
        <v>970</v>
      </c>
      <c r="F901" s="252">
        <v>3</v>
      </c>
      <c r="G901" s="252" t="s">
        <v>959</v>
      </c>
      <c r="H901" s="288" t="s">
        <v>136</v>
      </c>
      <c r="I901" s="238"/>
      <c r="J901" s="254"/>
      <c r="K901" s="255"/>
      <c r="L901" s="256"/>
      <c r="M901" s="257">
        <f>+SUM(M902:M903)</f>
        <v>1080000</v>
      </c>
      <c r="N901" s="266"/>
      <c r="O901" s="261"/>
      <c r="P901" s="266"/>
      <c r="Q901" s="257">
        <f>+SUM(Q902:Q903)</f>
        <v>1080000</v>
      </c>
      <c r="R901" s="267"/>
      <c r="S901" s="257">
        <f>+SUM(S902:S903)</f>
        <v>0</v>
      </c>
      <c r="T901" s="257">
        <f>+SUM(T902:T903)</f>
        <v>0</v>
      </c>
      <c r="U901" s="257">
        <f>+SUM(U902:U903)</f>
        <v>1080000</v>
      </c>
      <c r="V901" s="257">
        <f>+SUM(V902:V903)</f>
        <v>0</v>
      </c>
    </row>
    <row r="902" spans="1:22" ht="27.95" hidden="1" customHeight="1">
      <c r="A902" s="260"/>
      <c r="B902" s="260"/>
      <c r="C902" s="260"/>
      <c r="D902" s="260" t="s">
        <v>363</v>
      </c>
      <c r="E902" s="260" t="s">
        <v>970</v>
      </c>
      <c r="F902" s="260">
        <v>3</v>
      </c>
      <c r="G902" s="269" t="s">
        <v>960</v>
      </c>
      <c r="H902" s="278" t="s">
        <v>1477</v>
      </c>
      <c r="I902" s="238"/>
      <c r="J902" s="262"/>
      <c r="K902" s="263"/>
      <c r="L902" s="264"/>
      <c r="M902" s="265"/>
      <c r="N902" s="266"/>
      <c r="O902" s="261"/>
      <c r="P902" s="266"/>
      <c r="Q902" s="266"/>
      <c r="R902" s="267"/>
      <c r="S902" s="266"/>
      <c r="T902" s="266"/>
      <c r="U902" s="266"/>
      <c r="V902" s="266"/>
    </row>
    <row r="903" spans="1:22" ht="27.95" hidden="1" customHeight="1">
      <c r="A903" s="260"/>
      <c r="B903" s="260"/>
      <c r="C903" s="260"/>
      <c r="D903" s="260"/>
      <c r="E903" s="260"/>
      <c r="F903" s="260"/>
      <c r="G903" s="260"/>
      <c r="H903" s="290" t="s">
        <v>1482</v>
      </c>
      <c r="I903" s="238"/>
      <c r="J903" s="262">
        <v>36</v>
      </c>
      <c r="K903" s="263" t="s">
        <v>1209</v>
      </c>
      <c r="L903" s="264">
        <v>30000</v>
      </c>
      <c r="M903" s="265">
        <f>+J903*L903</f>
        <v>1080000</v>
      </c>
      <c r="N903" s="262">
        <v>36</v>
      </c>
      <c r="O903" s="263" t="s">
        <v>1209</v>
      </c>
      <c r="P903" s="264">
        <v>30000</v>
      </c>
      <c r="Q903" s="266">
        <f>+N903*P903</f>
        <v>1080000</v>
      </c>
      <c r="R903" s="267">
        <f>IF(J903="","",Q903/M903)</f>
        <v>1</v>
      </c>
      <c r="S903" s="266">
        <f>+IF(W903="DDS",Q903,0)</f>
        <v>0</v>
      </c>
      <c r="T903" s="266">
        <f>+IF(W903="ADD",Q903,0)</f>
        <v>0</v>
      </c>
      <c r="U903" s="266">
        <f>+IF(W903="DDS",0,IF(W903="ADD",0,Q903))</f>
        <v>1080000</v>
      </c>
      <c r="V903" s="266">
        <v>0</v>
      </c>
    </row>
    <row r="904" spans="1:22" ht="27.95" customHeight="1">
      <c r="A904" s="229" t="s">
        <v>363</v>
      </c>
      <c r="B904" s="229" t="s">
        <v>959</v>
      </c>
      <c r="C904" s="229" t="s">
        <v>959</v>
      </c>
      <c r="D904" s="229"/>
      <c r="E904" s="229"/>
      <c r="F904" s="229"/>
      <c r="G904" s="229" t="s">
        <v>959</v>
      </c>
      <c r="H904" s="238" t="s">
        <v>1602</v>
      </c>
      <c r="I904" s="238"/>
      <c r="J904" s="231"/>
      <c r="K904" s="232"/>
      <c r="L904" s="237"/>
      <c r="M904" s="234">
        <f>+M905+M910</f>
        <v>36600000</v>
      </c>
      <c r="N904" s="266">
        <v>0</v>
      </c>
      <c r="O904" s="261"/>
      <c r="P904" s="266">
        <v>0</v>
      </c>
      <c r="Q904" s="234">
        <f>+Q905+Q910</f>
        <v>21600000</v>
      </c>
      <c r="R904" s="236">
        <f>Q904/M904*100%</f>
        <v>0.5901639344262295</v>
      </c>
      <c r="S904" s="234">
        <f>+S905+S910</f>
        <v>0</v>
      </c>
      <c r="T904" s="234">
        <f>+T905+T910</f>
        <v>0</v>
      </c>
      <c r="U904" s="234">
        <f>+U905+U910</f>
        <v>21600000</v>
      </c>
      <c r="V904" s="234">
        <f>+V905+V910</f>
        <v>0</v>
      </c>
    </row>
    <row r="905" spans="1:22" ht="27.95" customHeight="1">
      <c r="A905" s="229" t="s">
        <v>363</v>
      </c>
      <c r="B905" s="229" t="s">
        <v>960</v>
      </c>
      <c r="C905" s="229" t="s">
        <v>959</v>
      </c>
      <c r="D905" s="229"/>
      <c r="E905" s="229"/>
      <c r="F905" s="229"/>
      <c r="G905" s="229" t="s">
        <v>959</v>
      </c>
      <c r="H905" s="238" t="s">
        <v>1603</v>
      </c>
      <c r="I905" s="238"/>
      <c r="J905" s="231"/>
      <c r="K905" s="232">
        <v>1</v>
      </c>
      <c r="L905" s="237" t="s">
        <v>1538</v>
      </c>
      <c r="M905" s="234">
        <f>+M906</f>
        <v>15000000</v>
      </c>
      <c r="N905" s="266">
        <v>0</v>
      </c>
      <c r="O905" s="232">
        <v>1</v>
      </c>
      <c r="P905" s="237" t="s">
        <v>1538</v>
      </c>
      <c r="Q905" s="234">
        <f>+Q906</f>
        <v>0</v>
      </c>
      <c r="R905" s="236">
        <f>Q905/M905*100%</f>
        <v>0</v>
      </c>
      <c r="S905" s="234">
        <f t="shared" ref="S905:V908" si="133">+S906</f>
        <v>0</v>
      </c>
      <c r="T905" s="234">
        <f t="shared" si="133"/>
        <v>0</v>
      </c>
      <c r="U905" s="234">
        <f t="shared" si="133"/>
        <v>0</v>
      </c>
      <c r="V905" s="234">
        <f t="shared" si="133"/>
        <v>0</v>
      </c>
    </row>
    <row r="906" spans="1:22" ht="27.95" hidden="1" customHeight="1">
      <c r="A906" s="229" t="s">
        <v>363</v>
      </c>
      <c r="B906" s="229" t="s">
        <v>960</v>
      </c>
      <c r="C906" s="229" t="s">
        <v>960</v>
      </c>
      <c r="D906" s="229"/>
      <c r="E906" s="229"/>
      <c r="F906" s="229"/>
      <c r="G906" s="229" t="s">
        <v>959</v>
      </c>
      <c r="H906" s="238" t="s">
        <v>1604</v>
      </c>
      <c r="I906" s="238" t="s">
        <v>1605</v>
      </c>
      <c r="J906" s="239"/>
      <c r="K906" s="240"/>
      <c r="L906" s="241"/>
      <c r="M906" s="234">
        <f>+M907</f>
        <v>15000000</v>
      </c>
      <c r="N906" s="266">
        <v>0</v>
      </c>
      <c r="O906" s="261"/>
      <c r="P906" s="266">
        <v>0</v>
      </c>
      <c r="Q906" s="234">
        <f>+Q907</f>
        <v>0</v>
      </c>
      <c r="R906" s="267" t="str">
        <f t="shared" ref="R906:R914" si="134">IF(J906="","",Q906/M906)</f>
        <v/>
      </c>
      <c r="S906" s="234">
        <f t="shared" si="133"/>
        <v>0</v>
      </c>
      <c r="T906" s="234">
        <f t="shared" si="133"/>
        <v>0</v>
      </c>
      <c r="U906" s="234">
        <f t="shared" si="133"/>
        <v>0</v>
      </c>
      <c r="V906" s="234">
        <f t="shared" si="133"/>
        <v>0</v>
      </c>
    </row>
    <row r="907" spans="1:22" ht="27.95" hidden="1" customHeight="1">
      <c r="A907" s="260" t="s">
        <v>363</v>
      </c>
      <c r="B907" s="260" t="s">
        <v>960</v>
      </c>
      <c r="C907" s="260" t="s">
        <v>960</v>
      </c>
      <c r="D907" s="244" t="s">
        <v>363</v>
      </c>
      <c r="E907" s="244" t="s">
        <v>1083</v>
      </c>
      <c r="F907" s="244" t="s">
        <v>959</v>
      </c>
      <c r="G907" s="244" t="s">
        <v>959</v>
      </c>
      <c r="H907" s="245" t="s">
        <v>152</v>
      </c>
      <c r="I907" s="238"/>
      <c r="J907" s="246"/>
      <c r="K907" s="247"/>
      <c r="L907" s="248"/>
      <c r="M907" s="249">
        <f>+M908</f>
        <v>15000000</v>
      </c>
      <c r="N907" s="266">
        <v>0</v>
      </c>
      <c r="O907" s="261"/>
      <c r="P907" s="266">
        <v>0</v>
      </c>
      <c r="Q907" s="249">
        <f>+Q908</f>
        <v>0</v>
      </c>
      <c r="R907" s="267" t="str">
        <f t="shared" si="134"/>
        <v/>
      </c>
      <c r="S907" s="249">
        <f t="shared" si="133"/>
        <v>0</v>
      </c>
      <c r="T907" s="249">
        <f t="shared" si="133"/>
        <v>0</v>
      </c>
      <c r="U907" s="249">
        <f t="shared" si="133"/>
        <v>0</v>
      </c>
      <c r="V907" s="249">
        <f t="shared" si="133"/>
        <v>0</v>
      </c>
    </row>
    <row r="908" spans="1:22" ht="27.95" hidden="1" customHeight="1">
      <c r="A908" s="229" t="s">
        <v>363</v>
      </c>
      <c r="B908" s="229" t="s">
        <v>960</v>
      </c>
      <c r="C908" s="229" t="s">
        <v>960</v>
      </c>
      <c r="D908" s="252" t="s">
        <v>363</v>
      </c>
      <c r="E908" s="252" t="s">
        <v>1083</v>
      </c>
      <c r="F908" s="252" t="s">
        <v>362</v>
      </c>
      <c r="G908" s="252" t="s">
        <v>959</v>
      </c>
      <c r="H908" s="253" t="s">
        <v>152</v>
      </c>
      <c r="I908" s="238"/>
      <c r="J908" s="254"/>
      <c r="K908" s="255"/>
      <c r="L908" s="256"/>
      <c r="M908" s="257">
        <f>+M909</f>
        <v>15000000</v>
      </c>
      <c r="N908" s="266">
        <v>0</v>
      </c>
      <c r="O908" s="261"/>
      <c r="P908" s="266">
        <v>0</v>
      </c>
      <c r="Q908" s="257">
        <f>+Q909</f>
        <v>0</v>
      </c>
      <c r="R908" s="267" t="str">
        <f t="shared" si="134"/>
        <v/>
      </c>
      <c r="S908" s="257">
        <f t="shared" si="133"/>
        <v>0</v>
      </c>
      <c r="T908" s="257">
        <f t="shared" si="133"/>
        <v>0</v>
      </c>
      <c r="U908" s="257">
        <f t="shared" si="133"/>
        <v>0</v>
      </c>
      <c r="V908" s="257">
        <f t="shared" si="133"/>
        <v>0</v>
      </c>
    </row>
    <row r="909" spans="1:22" ht="27.95" hidden="1" customHeight="1">
      <c r="A909" s="260" t="s">
        <v>363</v>
      </c>
      <c r="B909" s="260" t="s">
        <v>960</v>
      </c>
      <c r="C909" s="260" t="s">
        <v>960</v>
      </c>
      <c r="D909" s="260" t="s">
        <v>363</v>
      </c>
      <c r="E909" s="260" t="s">
        <v>1083</v>
      </c>
      <c r="F909" s="260" t="s">
        <v>362</v>
      </c>
      <c r="G909" s="260" t="s">
        <v>960</v>
      </c>
      <c r="H909" s="261" t="s">
        <v>1606</v>
      </c>
      <c r="I909" s="238"/>
      <c r="J909" s="262">
        <v>1</v>
      </c>
      <c r="K909" s="263" t="s">
        <v>1029</v>
      </c>
      <c r="L909" s="264">
        <v>15000000</v>
      </c>
      <c r="M909" s="265">
        <f>+J909*L909</f>
        <v>15000000</v>
      </c>
      <c r="N909" s="266">
        <v>0</v>
      </c>
      <c r="O909" s="261"/>
      <c r="P909" s="266"/>
      <c r="Q909" s="266">
        <f>+N909*P909</f>
        <v>0</v>
      </c>
      <c r="R909" s="267">
        <f t="shared" si="134"/>
        <v>0</v>
      </c>
      <c r="S909" s="266">
        <f>+IF(W909="DDS",Q909,0)</f>
        <v>0</v>
      </c>
      <c r="T909" s="266">
        <f>+IF(W909="ADD",Q909,0)</f>
        <v>0</v>
      </c>
      <c r="U909" s="266">
        <f>+IF(W909="DDS",0,IF(W909="ADD",0,Q909))</f>
        <v>0</v>
      </c>
      <c r="V909" s="266">
        <v>0</v>
      </c>
    </row>
    <row r="910" spans="1:22" ht="27.95" customHeight="1">
      <c r="A910" s="229" t="s">
        <v>363</v>
      </c>
      <c r="B910" s="229" t="s">
        <v>995</v>
      </c>
      <c r="C910" s="229" t="s">
        <v>959</v>
      </c>
      <c r="D910" s="229"/>
      <c r="E910" s="229"/>
      <c r="F910" s="229"/>
      <c r="G910" s="229" t="s">
        <v>959</v>
      </c>
      <c r="H910" s="238" t="s">
        <v>1607</v>
      </c>
      <c r="I910" s="238"/>
      <c r="J910" s="231"/>
      <c r="K910" s="240">
        <v>12</v>
      </c>
      <c r="L910" s="241" t="s">
        <v>1073</v>
      </c>
      <c r="M910" s="234">
        <f>+M911</f>
        <v>21600000</v>
      </c>
      <c r="N910" s="266">
        <v>0</v>
      </c>
      <c r="O910" s="240">
        <v>12</v>
      </c>
      <c r="P910" s="241" t="s">
        <v>1073</v>
      </c>
      <c r="Q910" s="234">
        <f>+Q911</f>
        <v>21600000</v>
      </c>
      <c r="R910" s="236">
        <f>Q910/M910*100%</f>
        <v>1</v>
      </c>
      <c r="S910" s="234">
        <f t="shared" ref="S910:V913" si="135">+S911</f>
        <v>0</v>
      </c>
      <c r="T910" s="234">
        <f t="shared" si="135"/>
        <v>0</v>
      </c>
      <c r="U910" s="234">
        <f t="shared" si="135"/>
        <v>21600000</v>
      </c>
      <c r="V910" s="234">
        <f t="shared" si="135"/>
        <v>0</v>
      </c>
    </row>
    <row r="911" spans="1:22" ht="27.95" hidden="1" customHeight="1">
      <c r="A911" s="229" t="s">
        <v>363</v>
      </c>
      <c r="B911" s="229" t="s">
        <v>995</v>
      </c>
      <c r="C911" s="229" t="s">
        <v>960</v>
      </c>
      <c r="D911" s="229"/>
      <c r="E911" s="229"/>
      <c r="F911" s="229"/>
      <c r="G911" s="229" t="s">
        <v>959</v>
      </c>
      <c r="H911" s="238" t="s">
        <v>1608</v>
      </c>
      <c r="I911" s="238" t="s">
        <v>1609</v>
      </c>
      <c r="J911" s="239"/>
      <c r="K911" s="240"/>
      <c r="L911" s="241"/>
      <c r="M911" s="234">
        <f>+M912</f>
        <v>21600000</v>
      </c>
      <c r="N911" s="266">
        <v>0</v>
      </c>
      <c r="O911" s="261"/>
      <c r="P911" s="266">
        <v>0</v>
      </c>
      <c r="Q911" s="234">
        <f>+Q912</f>
        <v>21600000</v>
      </c>
      <c r="R911" s="267" t="str">
        <f t="shared" si="134"/>
        <v/>
      </c>
      <c r="S911" s="234">
        <f t="shared" si="135"/>
        <v>0</v>
      </c>
      <c r="T911" s="234">
        <f t="shared" si="135"/>
        <v>0</v>
      </c>
      <c r="U911" s="234">
        <f t="shared" si="135"/>
        <v>21600000</v>
      </c>
      <c r="V911" s="234">
        <f t="shared" si="135"/>
        <v>0</v>
      </c>
    </row>
    <row r="912" spans="1:22" ht="27.95" hidden="1" customHeight="1">
      <c r="A912" s="260" t="s">
        <v>363</v>
      </c>
      <c r="B912" s="260" t="s">
        <v>995</v>
      </c>
      <c r="C912" s="260" t="s">
        <v>960</v>
      </c>
      <c r="D912" s="244" t="s">
        <v>363</v>
      </c>
      <c r="E912" s="244" t="s">
        <v>1083</v>
      </c>
      <c r="F912" s="244" t="s">
        <v>959</v>
      </c>
      <c r="G912" s="244" t="s">
        <v>959</v>
      </c>
      <c r="H912" s="245" t="s">
        <v>152</v>
      </c>
      <c r="I912" s="238"/>
      <c r="J912" s="246"/>
      <c r="K912" s="247"/>
      <c r="L912" s="248"/>
      <c r="M912" s="249">
        <f>+M913</f>
        <v>21600000</v>
      </c>
      <c r="N912" s="266">
        <v>0</v>
      </c>
      <c r="O912" s="261"/>
      <c r="P912" s="266">
        <v>0</v>
      </c>
      <c r="Q912" s="249">
        <f>+Q913</f>
        <v>21600000</v>
      </c>
      <c r="R912" s="267" t="str">
        <f t="shared" si="134"/>
        <v/>
      </c>
      <c r="S912" s="249">
        <f t="shared" si="135"/>
        <v>0</v>
      </c>
      <c r="T912" s="249">
        <f t="shared" si="135"/>
        <v>0</v>
      </c>
      <c r="U912" s="249">
        <f t="shared" si="135"/>
        <v>21600000</v>
      </c>
      <c r="V912" s="249">
        <f t="shared" si="135"/>
        <v>0</v>
      </c>
    </row>
    <row r="913" spans="1:22" ht="27.95" hidden="1" customHeight="1">
      <c r="A913" s="260" t="s">
        <v>363</v>
      </c>
      <c r="B913" s="260" t="s">
        <v>995</v>
      </c>
      <c r="C913" s="260" t="s">
        <v>960</v>
      </c>
      <c r="D913" s="252" t="s">
        <v>363</v>
      </c>
      <c r="E913" s="252" t="s">
        <v>1083</v>
      </c>
      <c r="F913" s="252" t="s">
        <v>362</v>
      </c>
      <c r="G913" s="252" t="s">
        <v>959</v>
      </c>
      <c r="H913" s="253" t="s">
        <v>152</v>
      </c>
      <c r="I913" s="238"/>
      <c r="J913" s="254"/>
      <c r="K913" s="255"/>
      <c r="L913" s="256"/>
      <c r="M913" s="257">
        <f>+M914</f>
        <v>21600000</v>
      </c>
      <c r="N913" s="266">
        <v>0</v>
      </c>
      <c r="O913" s="261"/>
      <c r="P913" s="266">
        <v>0</v>
      </c>
      <c r="Q913" s="257">
        <f>+Q914</f>
        <v>21600000</v>
      </c>
      <c r="R913" s="267" t="str">
        <f t="shared" si="134"/>
        <v/>
      </c>
      <c r="S913" s="257">
        <f t="shared" si="135"/>
        <v>0</v>
      </c>
      <c r="T913" s="257">
        <f t="shared" si="135"/>
        <v>0</v>
      </c>
      <c r="U913" s="257">
        <f t="shared" si="135"/>
        <v>21600000</v>
      </c>
      <c r="V913" s="257">
        <f t="shared" si="135"/>
        <v>0</v>
      </c>
    </row>
    <row r="914" spans="1:22" ht="27.95" hidden="1" customHeight="1">
      <c r="A914" s="260" t="s">
        <v>363</v>
      </c>
      <c r="B914" s="260" t="s">
        <v>995</v>
      </c>
      <c r="C914" s="260" t="s">
        <v>960</v>
      </c>
      <c r="D914" s="260" t="s">
        <v>363</v>
      </c>
      <c r="E914" s="260" t="s">
        <v>1083</v>
      </c>
      <c r="F914" s="260" t="s">
        <v>362</v>
      </c>
      <c r="G914" s="260" t="s">
        <v>960</v>
      </c>
      <c r="H914" s="261" t="s">
        <v>152</v>
      </c>
      <c r="I914" s="238"/>
      <c r="J914" s="262">
        <v>72</v>
      </c>
      <c r="K914" s="263" t="s">
        <v>966</v>
      </c>
      <c r="L914" s="264">
        <v>300000</v>
      </c>
      <c r="M914" s="265">
        <f>+J914*L914</f>
        <v>21600000</v>
      </c>
      <c r="N914" s="266">
        <f>6*12</f>
        <v>72</v>
      </c>
      <c r="O914" s="261" t="s">
        <v>966</v>
      </c>
      <c r="P914" s="266">
        <v>300000</v>
      </c>
      <c r="Q914" s="266">
        <f>+N914*P914</f>
        <v>21600000</v>
      </c>
      <c r="R914" s="267">
        <f t="shared" si="134"/>
        <v>1</v>
      </c>
      <c r="S914" s="266">
        <f>+IF(W914="DDS",Q914,0)</f>
        <v>0</v>
      </c>
      <c r="T914" s="266">
        <f>+IF(W914="ADD",Q914,0)</f>
        <v>0</v>
      </c>
      <c r="U914" s="266">
        <f>+IF(W914="DDS",0,IF(W914="ADD",0,Q914))</f>
        <v>21600000</v>
      </c>
      <c r="V914" s="266">
        <v>0</v>
      </c>
    </row>
    <row r="915" spans="1:22" ht="27.95" hidden="1" customHeight="1">
      <c r="A915" s="260"/>
      <c r="B915" s="260"/>
      <c r="C915" s="260"/>
      <c r="D915" s="260" t="s">
        <v>959</v>
      </c>
      <c r="E915" s="260" t="s">
        <v>959</v>
      </c>
      <c r="F915" s="260" t="s">
        <v>959</v>
      </c>
      <c r="G915" s="260" t="s">
        <v>959</v>
      </c>
      <c r="H915" s="230" t="s">
        <v>299</v>
      </c>
      <c r="I915" s="230"/>
      <c r="J915" s="235"/>
      <c r="K915" s="230"/>
      <c r="L915" s="235"/>
      <c r="M915" s="235">
        <f>M904+M774+M648+M412+M20</f>
        <v>2397109076</v>
      </c>
      <c r="N915" s="235"/>
      <c r="O915" s="230"/>
      <c r="P915" s="235"/>
      <c r="Q915" s="235">
        <f>Q904+Q774+Q648+Q412+Q20</f>
        <v>2213523244</v>
      </c>
      <c r="R915" s="236">
        <f>+Q915/M915</f>
        <v>0.92341365111914497</v>
      </c>
      <c r="S915" s="235">
        <f>S904+S774+S648+S412+S20</f>
        <v>20906000</v>
      </c>
      <c r="T915" s="235">
        <f>T904+T774+T648+T412+T20</f>
        <v>0</v>
      </c>
      <c r="U915" s="235">
        <f>U904+U774+U648+U412+U20</f>
        <v>2206687244</v>
      </c>
      <c r="V915" s="235">
        <f>V904+V774+V648+V412+V20</f>
        <v>0</v>
      </c>
    </row>
    <row r="916" spans="1:22" ht="27.95" customHeight="1">
      <c r="A916" s="297"/>
      <c r="B916" s="297"/>
      <c r="C916" s="297"/>
      <c r="D916" s="298"/>
      <c r="E916" s="299"/>
      <c r="F916" s="298"/>
      <c r="G916" s="298"/>
      <c r="H916" s="298"/>
      <c r="I916" s="299"/>
      <c r="J916" s="298"/>
      <c r="K916" s="298"/>
      <c r="L916" s="300"/>
      <c r="M916" s="298"/>
      <c r="N916" s="298"/>
      <c r="O916" s="298"/>
      <c r="P916" s="298"/>
      <c r="Q916" s="301"/>
      <c r="R916" s="297"/>
      <c r="S916" s="297"/>
      <c r="T916" s="297"/>
      <c r="U916" s="297"/>
      <c r="V916" s="297"/>
    </row>
    <row r="917" spans="1:22" ht="27.95" customHeight="1">
      <c r="A917" s="297"/>
      <c r="B917" s="297"/>
      <c r="C917" s="297"/>
      <c r="D917" s="298"/>
      <c r="E917" s="299"/>
      <c r="F917" s="298"/>
      <c r="G917" s="298"/>
      <c r="H917" s="298"/>
      <c r="I917" s="299"/>
      <c r="J917" s="298"/>
      <c r="K917" s="298"/>
      <c r="L917" s="300"/>
      <c r="M917" s="298"/>
      <c r="N917" s="298"/>
      <c r="O917" s="298"/>
      <c r="P917" s="298"/>
      <c r="Q917" s="301"/>
      <c r="R917" s="297"/>
      <c r="S917" s="301"/>
      <c r="T917" s="302" t="s">
        <v>1610</v>
      </c>
      <c r="U917" s="297"/>
      <c r="V917" s="297"/>
    </row>
    <row r="918" spans="1:22" ht="27.95" customHeight="1">
      <c r="A918" s="297"/>
      <c r="B918" s="297"/>
      <c r="C918" s="297"/>
      <c r="D918" s="298"/>
      <c r="E918" s="299"/>
      <c r="F918" s="298"/>
      <c r="G918" s="298"/>
      <c r="H918" s="298"/>
      <c r="I918" s="299"/>
      <c r="J918" s="298"/>
      <c r="K918" s="298"/>
      <c r="L918" s="300"/>
      <c r="M918" s="298"/>
      <c r="N918" s="298"/>
      <c r="O918" s="298"/>
      <c r="P918" s="298"/>
      <c r="Q918" s="297"/>
      <c r="R918" s="297"/>
      <c r="S918" s="297"/>
      <c r="T918" s="302" t="s">
        <v>491</v>
      </c>
      <c r="U918" s="297"/>
      <c r="V918" s="297"/>
    </row>
    <row r="919" spans="1:22" ht="27.95" customHeight="1">
      <c r="A919" s="297"/>
      <c r="B919" s="297"/>
      <c r="C919" s="297"/>
      <c r="D919" s="298"/>
      <c r="E919" s="299"/>
      <c r="F919" s="298"/>
      <c r="G919" s="298"/>
      <c r="H919" s="298"/>
      <c r="I919" s="299"/>
      <c r="J919" s="298"/>
      <c r="K919" s="298"/>
      <c r="L919" s="300"/>
      <c r="M919" s="298"/>
      <c r="N919" s="298"/>
      <c r="O919" s="298"/>
      <c r="P919" s="298"/>
      <c r="Q919" s="301"/>
      <c r="R919" s="297"/>
      <c r="S919" s="297"/>
      <c r="T919" s="302"/>
      <c r="U919" s="297"/>
      <c r="V919" s="297"/>
    </row>
    <row r="920" spans="1:22" ht="27.95" customHeight="1">
      <c r="A920" s="297"/>
      <c r="B920" s="297"/>
      <c r="C920" s="297"/>
      <c r="D920" s="298"/>
      <c r="E920" s="299"/>
      <c r="F920" s="298"/>
      <c r="G920" s="298"/>
      <c r="H920" s="298"/>
      <c r="I920" s="299"/>
      <c r="J920" s="298"/>
      <c r="K920" s="298"/>
      <c r="L920" s="300"/>
      <c r="M920" s="298"/>
      <c r="N920" s="298"/>
      <c r="O920" s="298"/>
      <c r="P920" s="298"/>
      <c r="Q920" s="297"/>
      <c r="R920" s="297"/>
      <c r="S920" s="297"/>
      <c r="T920" s="303" t="s">
        <v>560</v>
      </c>
      <c r="U920" s="297"/>
      <c r="V920" s="297"/>
    </row>
    <row r="921" spans="1:22" ht="27.95" customHeight="1">
      <c r="A921" s="297"/>
      <c r="B921" s="297"/>
      <c r="C921" s="297"/>
      <c r="D921" s="298"/>
      <c r="E921" s="299"/>
      <c r="F921" s="298"/>
      <c r="G921" s="298"/>
      <c r="H921" s="298"/>
      <c r="I921" s="299"/>
      <c r="J921" s="298"/>
      <c r="K921" s="298"/>
      <c r="L921" s="300"/>
      <c r="M921" s="298"/>
      <c r="N921" s="298"/>
      <c r="O921" s="298"/>
      <c r="P921" s="298"/>
      <c r="Q921" s="297"/>
      <c r="R921" s="297"/>
      <c r="S921" s="297"/>
      <c r="T921" s="302"/>
      <c r="U921" s="297"/>
      <c r="V921" s="297"/>
    </row>
    <row r="922" spans="1:22" ht="27.95" customHeight="1">
      <c r="A922" s="297"/>
      <c r="B922" s="297"/>
      <c r="C922" s="297"/>
      <c r="D922" s="298"/>
      <c r="E922" s="299"/>
      <c r="F922" s="298"/>
      <c r="G922" s="298"/>
      <c r="H922" s="298"/>
      <c r="I922" s="299"/>
      <c r="J922" s="298"/>
      <c r="K922" s="298"/>
      <c r="L922" s="300"/>
      <c r="M922" s="298"/>
      <c r="N922" s="298"/>
      <c r="O922" s="298"/>
      <c r="P922" s="298"/>
      <c r="Q922" s="297"/>
      <c r="R922" s="297"/>
      <c r="S922" s="297"/>
      <c r="T922" s="302"/>
      <c r="U922" s="297"/>
      <c r="V922" s="297"/>
    </row>
    <row r="923" spans="1:22" ht="27.95" customHeight="1">
      <c r="A923" s="297"/>
      <c r="B923" s="297"/>
      <c r="C923" s="297"/>
      <c r="D923" s="298"/>
      <c r="E923" s="299"/>
      <c r="F923" s="298"/>
      <c r="G923" s="298"/>
      <c r="H923" s="298"/>
      <c r="I923" s="299"/>
      <c r="J923" s="298"/>
      <c r="K923" s="298"/>
      <c r="L923" s="300"/>
      <c r="M923" s="298"/>
      <c r="N923" s="298"/>
      <c r="O923" s="298"/>
      <c r="P923" s="298"/>
      <c r="Q923" s="297"/>
      <c r="R923" s="297"/>
      <c r="S923" s="297"/>
      <c r="U923" s="297"/>
      <c r="V923" s="297"/>
    </row>
  </sheetData>
  <autoFilter ref="B19:U915" xr:uid="{936D74AD-B9AC-4D10-9A66-7F9C2E27121E}">
    <filterColumn colId="6">
      <filters>
        <filter val="BIDANG PELAKSANAAN PEMBANGUNAN DESA"/>
        <filter val="BIDANG PEMBERDAYAAN MASYARAKAT"/>
        <filter val="BIDANG PEMBINAAN KEMASYARAKATAN"/>
        <filter val="BIDANG PENANGGULANGAN BENCANA, DARURAT DAN MENDESAK DESA"/>
        <filter val="BIDANG PENYELENGGARAN PEMERINTAHAN DESA"/>
        <filter val="Operasional Karang Taruna"/>
        <filter val="Operasional LPMD dan/atau LPMD"/>
        <filter val="Operasional PKK"/>
        <filter val="Optimalisasi peran Tim Koordinasi Penanggulangan Kemiskinan Desa (TKPK Desa)"/>
        <filter val="Pelatihan Pengelolaan BUM Desa ( Pelatihan Yang dilaksanakan Oleh Pemdes )"/>
        <filter val="Pembangunan/ Rehabilitasi Gedung PAUD/TK Milik Desa"/>
        <filter val="Pembangunan/Rehabilitasi Rest Area Milik Desa"/>
        <filter val="Pembangunan/Rehabilitasi/peningkatan Balai Desa/ Bali Kemasyarakatan"/>
        <filter val="Pembangunan/Rehabilitasi/Peningkatan Prasarana Jalan Desa (Gorong, selokan, dll)"/>
        <filter val="Pembangunan/Rehabilitasi/Peningkatan Saran/ Prasarana Perpustakaan/ Taman Bacaan Desa/ Sanggar Belajar"/>
        <filter val="Pembangunan/Rehabilitasi/peningkatan/Pengerasan Jalan Usaha Tani"/>
        <filter val="Pembentukan/Fasilitas/Pelatihan/Pendampingan Kelompok Usaha Ekonomi Produktif"/>
        <filter val="Pemberian makanan tambahan untuk balita/siswa  PAUD"/>
        <filter val="Pemberian Stimulan Jamban Sehat"/>
        <filter val="Pembinaan dan Pengembangan Desa Budaya"/>
        <filter val="Pembinaan dan pengembangan Forum Anak Desa"/>
        <filter val="Pembinaan Gerakan Masyarakat Hidup Sehat (Germas)"/>
        <filter val="Pembinaan Jaga Warga"/>
        <filter val="Pembinaan Kader Pemberdayaan Masyarakat"/>
        <filter val="Pembinaan Kelembagaan Desa Tangguh Bencana"/>
        <filter val="Pembinaan RT/RW"/>
        <filter val="Pemeliharaan Gedung/Prasarana Kantor Desa"/>
        <filter val="Pendataan Profil Desa"/>
        <filter val="Pengadaan mebel"/>
        <filter val="Pengadaan Peralatan Kantor"/>
        <filter val="Pengelolaan Administrasi Kependudukan, Pencatatan Sipil, Statistik dan Kearsipan"/>
        <filter val="Pengelolaan Administrasi/ Inventarisasi/Penilaian Aset Desa"/>
        <filter val="Pengelolaan perpustakaan Milik Desa ( Pengadaan buku, honor, taman baca )"/>
        <filter val="Pengembangan Sistem Informasi Desa"/>
        <filter val="Penghasilan Tetap dan Tunjangan Kepala Desa"/>
        <filter val="Penghasilan Tetap dan Tunjangan Perangkat Desa"/>
        <filter val="Penghasilan Tetap Perangkat Desa"/>
        <filter val="Peningkatan Kapsitas Perangkat Desa"/>
        <filter val="Penyediaan Insentif/Operasional RT/RW"/>
        <filter val="Penyediaan Jaminan Sosial bagi Kepala Desa dan Perangkat Desa"/>
        <filter val="Penyediaan jasa perbaikan/servis peralatan kerja"/>
        <filter val="Penyediaan Operasional BPD (rapat, ATK, Makan Minum, Pakaian Seragam, Listrik dll)"/>
        <filter val="Penyediaan Operasional Pemerintah Desa (ATK, Honor PKPKD dan PPKD dll)"/>
        <filter val="Penyediaan Operasional Pemerintah Desa yang bersumber dari Dana Desa"/>
        <filter val="Penyediaan Penghasilan Tetap dan Tunjangan Kepala Desa"/>
        <filter val="Penyediaan Penghasilan Tetap dan Tunjangan Perangkat Desa"/>
        <filter val="Penyediaan Sarana Prasarana Pemerintahan Desa"/>
        <filter val="Penyediaan Tunjangan BPD"/>
        <filter val="Penyelenggaraan Desa Siaga Kesehatan"/>
        <filter val="Penyelenggaraan Festival/Pagelaran Seni Budaya Untuk Anak"/>
        <filter val="Penyelenggaraan Informasi Publik Desa (Poster, Baliho Dll)"/>
        <filter val="Penyelenggaraan Musyawaran Desa Lainnya (Musdus, rembug desa Non Reguler)"/>
        <filter val="Penyelenggaraan Musyawaran Perencanaan Desa/Pembahasan APBDes (Reguler)"/>
        <filter val="Penyelenggaraan Posyandu (Mkn Tambahan, Kls Bumil, Lamsia, Insentif)"/>
        <filter val="Penyelenggaraan Tata Praja Pemerintahan, Perencanaan, Keuangan dan Pelaporan"/>
        <filter val="Penyelenggaran Belanja Siltap, Tunjangan dan Operasional Pemerintahan Desa"/>
        <filter val="Penyelenggaran PAUD/TK/TPA/TKA/TPQ/Madrasah NonFormal Milik Desa (Honor, Pakaian dll)"/>
        <filter val="Penyuluhan dan pelatihan bidang kesehatan ( untuk Masy, tenaga dan kader kesehatan dll )"/>
        <filter val="Penyusunan Dokumen Keuangan Desa (APBDes, APBDes Perubahan, LPJ dll)"/>
        <filter val="Penyusunan Dokumen Perencanaan Desa (RPJMDesa/RKPDesa dll)"/>
        <filter val="Penyusunan Kebijakan Desa ( perdes/perkades selain perencanaan/Keuangan )"/>
        <filter val="Penyusunan Laporan Kepala Desa, LPPDesa dan Informasi Kepada Masyarakat"/>
        <filter val="Penyusunan Monografi Desa"/>
        <filter val="Rehabilitasi/pemeliharaan kendaraan dinas/operasional"/>
        <filter val="Sub Bidang Kawasan Pemukiman"/>
        <filter val="Sub Bidang Keadaan Mendesak Penanganan"/>
        <filter val="Sub Bidang Kebudayaan dan Keagamaan"/>
        <filter val="Sub Bidang Kelembagaan Masyarakat"/>
        <filter val="Sub Bidang Kepemudaan dan Olahraga"/>
        <filter val="Sub Bidang Kesehatan"/>
        <filter val="Sub Bidang Ketentraman, Ketertiban Umum dan Perlindungan Masyarakat"/>
        <filter val="Sub Bidang Koperasi, Usaha Micro Kecil dan Menengah ( UMKM )"/>
        <filter val="Sub Bidang Pariwisata"/>
        <filter val="Sub Bidang Pekerjaan Umum dan Penataan Ruang"/>
        <filter val="Sub Bidang Pemberdayaan Perempuan, Perlindungan Anak dan Keluarga"/>
        <filter val="Sub Bidang Penanaman Modal"/>
        <filter val="Sub Bidang Penanggulangan Bencana"/>
        <filter val="Sub Bidang Pendidikan"/>
        <filter val="Sub Bidang Peningkatan Kapasitas Perangkat Desa"/>
        <filter val="Sub Bidang Perdagangan dan Perindustrian"/>
        <filter val="Sub Bidang Perhubungan, Komunikasi dan Informatika"/>
        <filter val="Sub Bidang Pertanahan"/>
      </filters>
    </filterColumn>
  </autoFilter>
  <mergeCells count="16">
    <mergeCell ref="A18:G18"/>
    <mergeCell ref="T16:T17"/>
    <mergeCell ref="U16:U17"/>
    <mergeCell ref="V16:V17"/>
    <mergeCell ref="I15:I17"/>
    <mergeCell ref="A8:V8"/>
    <mergeCell ref="A9:V9"/>
    <mergeCell ref="A15:G17"/>
    <mergeCell ref="H15:H17"/>
    <mergeCell ref="J15:R15"/>
    <mergeCell ref="S15:V15"/>
    <mergeCell ref="J16:M16"/>
    <mergeCell ref="N16:R16"/>
    <mergeCell ref="S16:S17"/>
    <mergeCell ref="J17:K17"/>
    <mergeCell ref="N17:O17"/>
  </mergeCells>
  <conditionalFormatting sqref="G139:G1048576 G1:G7 G11:G137">
    <cfRule type="duplicateValues" dxfId="0" priority="1"/>
  </conditionalFormatting>
  <printOptions horizontalCentered="1"/>
  <pageMargins left="0.27559055118110237" right="0.19685039370078741" top="0.98425196850393704" bottom="0.39370078740157483" header="0.23622047244094491" footer="0.23622047244094491"/>
  <pageSetup paperSize="14" scale="65" orientation="landscape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C684D-336A-4284-809D-7759EA79EBD7}">
  <sheetPr>
    <tabColor theme="5" tint="0.39997558519241921"/>
  </sheetPr>
  <dimension ref="A1:H49"/>
  <sheetViews>
    <sheetView showGridLines="0" topLeftCell="A21" zoomScaleNormal="100" workbookViewId="0">
      <selection activeCell="A35" sqref="A35"/>
    </sheetView>
  </sheetViews>
  <sheetFormatPr defaultColWidth="9.140625" defaultRowHeight="12.75"/>
  <cols>
    <col min="1" max="1" width="4.28515625" style="121" customWidth="1"/>
    <col min="2" max="2" width="24" style="122" customWidth="1"/>
    <col min="3" max="3" width="15.28515625" style="122" customWidth="1"/>
    <col min="4" max="4" width="14.140625" style="121" customWidth="1"/>
    <col min="5" max="5" width="10.85546875" style="123" customWidth="1"/>
    <col min="6" max="6" width="10.28515625" style="121" customWidth="1"/>
    <col min="7" max="7" width="19" style="535" customWidth="1"/>
    <col min="8" max="8" width="18" style="121" customWidth="1"/>
    <col min="9" max="9" width="14.140625" style="122" customWidth="1"/>
    <col min="10" max="16384" width="9.140625" style="122"/>
  </cols>
  <sheetData>
    <row r="1" spans="1:8">
      <c r="F1" s="124" t="s">
        <v>373</v>
      </c>
    </row>
    <row r="2" spans="1:8">
      <c r="F2" s="122" t="s">
        <v>465</v>
      </c>
    </row>
    <row r="3" spans="1:8">
      <c r="F3" s="122" t="s">
        <v>338</v>
      </c>
    </row>
    <row r="4" spans="1:8">
      <c r="F4" s="122" t="s">
        <v>305</v>
      </c>
    </row>
    <row r="5" spans="1:8">
      <c r="F5" s="122" t="s">
        <v>306</v>
      </c>
    </row>
    <row r="6" spans="1:8">
      <c r="F6" s="122" t="s">
        <v>374</v>
      </c>
    </row>
    <row r="7" spans="1:8">
      <c r="F7" s="122" t="s">
        <v>375</v>
      </c>
    </row>
    <row r="8" spans="1:8">
      <c r="F8" s="122" t="s">
        <v>222</v>
      </c>
    </row>
    <row r="9" spans="1:8">
      <c r="F9" s="122"/>
    </row>
    <row r="10" spans="1:8">
      <c r="A10" s="672" t="s">
        <v>376</v>
      </c>
      <c r="B10" s="672"/>
      <c r="C10" s="672"/>
      <c r="D10" s="672"/>
      <c r="E10" s="672"/>
      <c r="F10" s="672"/>
      <c r="G10" s="672"/>
      <c r="H10" s="672"/>
    </row>
    <row r="11" spans="1:8">
      <c r="A11" s="672" t="s">
        <v>377</v>
      </c>
      <c r="B11" s="672"/>
      <c r="C11" s="672"/>
      <c r="D11" s="672"/>
      <c r="E11" s="672"/>
      <c r="F11" s="672"/>
      <c r="G11" s="672"/>
      <c r="H11" s="672"/>
    </row>
    <row r="13" spans="1:8">
      <c r="B13" s="122" t="s">
        <v>378</v>
      </c>
      <c r="C13" s="122" t="s">
        <v>566</v>
      </c>
    </row>
    <row r="14" spans="1:8">
      <c r="B14" s="122" t="s">
        <v>379</v>
      </c>
      <c r="C14" s="122" t="s">
        <v>566</v>
      </c>
    </row>
    <row r="15" spans="1:8">
      <c r="B15" s="122" t="s">
        <v>380</v>
      </c>
      <c r="C15" s="122" t="s">
        <v>381</v>
      </c>
    </row>
    <row r="16" spans="1:8">
      <c r="B16" s="122" t="s">
        <v>382</v>
      </c>
      <c r="C16" s="122" t="s">
        <v>383</v>
      </c>
    </row>
    <row r="18" spans="1:8" ht="15.75" customHeight="1">
      <c r="A18" s="680" t="s">
        <v>384</v>
      </c>
      <c r="B18" s="680" t="s">
        <v>385</v>
      </c>
      <c r="C18" s="682" t="s">
        <v>386</v>
      </c>
      <c r="D18" s="683"/>
      <c r="E18" s="683"/>
      <c r="F18" s="684"/>
      <c r="G18" s="682" t="s">
        <v>43</v>
      </c>
      <c r="H18" s="684"/>
    </row>
    <row r="19" spans="1:8" ht="18.75" customHeight="1">
      <c r="A19" s="681"/>
      <c r="B19" s="681"/>
      <c r="C19" s="125" t="s">
        <v>387</v>
      </c>
      <c r="D19" s="125" t="s">
        <v>388</v>
      </c>
      <c r="E19" s="126" t="s">
        <v>350</v>
      </c>
      <c r="F19" s="125" t="s">
        <v>351</v>
      </c>
      <c r="G19" s="536" t="s">
        <v>50</v>
      </c>
      <c r="H19" s="128" t="s">
        <v>389</v>
      </c>
    </row>
    <row r="20" spans="1:8" s="131" customFormat="1" ht="12" customHeight="1" thickBot="1">
      <c r="A20" s="129">
        <v>1</v>
      </c>
      <c r="B20" s="129">
        <v>2</v>
      </c>
      <c r="C20" s="129">
        <v>3</v>
      </c>
      <c r="D20" s="129">
        <v>4</v>
      </c>
      <c r="E20" s="130">
        <v>5</v>
      </c>
      <c r="F20" s="129">
        <v>6</v>
      </c>
      <c r="G20" s="537">
        <v>7</v>
      </c>
      <c r="H20" s="129">
        <v>8</v>
      </c>
    </row>
    <row r="21" spans="1:8" s="134" customFormat="1" ht="30" customHeight="1">
      <c r="A21" s="132">
        <v>1</v>
      </c>
      <c r="B21" s="133" t="s">
        <v>390</v>
      </c>
      <c r="C21" s="133" t="s">
        <v>391</v>
      </c>
      <c r="D21" s="132" t="s">
        <v>567</v>
      </c>
      <c r="E21" s="543">
        <v>367</v>
      </c>
      <c r="F21" s="132" t="s">
        <v>1725</v>
      </c>
      <c r="G21" s="538">
        <v>1776500000</v>
      </c>
      <c r="H21" s="132" t="s">
        <v>392</v>
      </c>
    </row>
    <row r="22" spans="1:8" s="134" customFormat="1" ht="30" customHeight="1">
      <c r="A22" s="132">
        <v>2</v>
      </c>
      <c r="B22" s="133" t="s">
        <v>393</v>
      </c>
      <c r="C22" s="133" t="s">
        <v>391</v>
      </c>
      <c r="D22" s="132" t="s">
        <v>567</v>
      </c>
      <c r="E22" s="543">
        <v>792</v>
      </c>
      <c r="F22" s="132" t="s">
        <v>1725</v>
      </c>
      <c r="G22" s="538">
        <v>1900800000</v>
      </c>
      <c r="H22" s="132" t="s">
        <v>392</v>
      </c>
    </row>
    <row r="23" spans="1:8" s="134" customFormat="1" ht="30" customHeight="1">
      <c r="A23" s="132">
        <v>3</v>
      </c>
      <c r="B23" s="133" t="s">
        <v>1726</v>
      </c>
      <c r="C23" s="133" t="s">
        <v>391</v>
      </c>
      <c r="D23" s="132" t="s">
        <v>567</v>
      </c>
      <c r="E23" s="543">
        <v>3</v>
      </c>
      <c r="F23" s="132" t="s">
        <v>1725</v>
      </c>
      <c r="G23" s="538">
        <v>15000000</v>
      </c>
      <c r="H23" s="132" t="s">
        <v>392</v>
      </c>
    </row>
    <row r="24" spans="1:8" s="134" customFormat="1" ht="30" customHeight="1">
      <c r="A24" s="132">
        <v>4</v>
      </c>
      <c r="B24" s="133" t="s">
        <v>1729</v>
      </c>
      <c r="C24" s="133" t="s">
        <v>391</v>
      </c>
      <c r="D24" s="132" t="s">
        <v>567</v>
      </c>
      <c r="E24" s="543">
        <v>969</v>
      </c>
      <c r="F24" s="132" t="s">
        <v>1725</v>
      </c>
      <c r="G24" s="538">
        <v>872100000</v>
      </c>
      <c r="H24" s="132" t="s">
        <v>392</v>
      </c>
    </row>
    <row r="25" spans="1:8" s="134" customFormat="1" ht="30" customHeight="1">
      <c r="A25" s="132">
        <v>5</v>
      </c>
      <c r="B25" s="133" t="s">
        <v>1732</v>
      </c>
      <c r="C25" s="133" t="s">
        <v>391</v>
      </c>
      <c r="D25" s="132" t="s">
        <v>567</v>
      </c>
      <c r="E25" s="543">
        <v>678</v>
      </c>
      <c r="F25" s="132" t="s">
        <v>1725</v>
      </c>
      <c r="G25" s="538">
        <v>183060000</v>
      </c>
      <c r="H25" s="132" t="s">
        <v>392</v>
      </c>
    </row>
    <row r="26" spans="1:8" s="134" customFormat="1" ht="30" customHeight="1">
      <c r="A26" s="132">
        <v>6</v>
      </c>
      <c r="B26" s="133" t="s">
        <v>568</v>
      </c>
      <c r="C26" s="133" t="s">
        <v>391</v>
      </c>
      <c r="D26" s="132" t="s">
        <v>567</v>
      </c>
      <c r="E26" s="133">
        <v>1</v>
      </c>
      <c r="F26" s="132" t="s">
        <v>569</v>
      </c>
      <c r="G26" s="539">
        <v>75000000</v>
      </c>
      <c r="H26" s="132" t="s">
        <v>392</v>
      </c>
    </row>
    <row r="27" spans="1:8" s="134" customFormat="1" ht="30" customHeight="1">
      <c r="A27" s="132">
        <v>7</v>
      </c>
      <c r="B27" s="133" t="s">
        <v>1730</v>
      </c>
      <c r="C27" s="133" t="s">
        <v>391</v>
      </c>
      <c r="D27" s="132" t="s">
        <v>567</v>
      </c>
      <c r="E27" s="543">
        <v>33</v>
      </c>
      <c r="F27" s="132" t="s">
        <v>1731</v>
      </c>
      <c r="G27" s="538">
        <v>118800000</v>
      </c>
      <c r="H27" s="132" t="s">
        <v>1736</v>
      </c>
    </row>
    <row r="28" spans="1:8" s="134" customFormat="1" ht="30" customHeight="1">
      <c r="A28" s="132">
        <v>8</v>
      </c>
      <c r="B28" s="133" t="s">
        <v>1727</v>
      </c>
      <c r="C28" s="133" t="s">
        <v>391</v>
      </c>
      <c r="D28" s="132" t="s">
        <v>567</v>
      </c>
      <c r="E28" s="543">
        <v>360</v>
      </c>
      <c r="F28" s="132"/>
      <c r="G28" s="538">
        <v>11520000</v>
      </c>
      <c r="H28" s="132" t="s">
        <v>1740</v>
      </c>
    </row>
    <row r="29" spans="1:8" s="134" customFormat="1" ht="30" customHeight="1">
      <c r="A29" s="132">
        <v>9</v>
      </c>
      <c r="B29" s="133" t="s">
        <v>1728</v>
      </c>
      <c r="C29" s="133" t="s">
        <v>391</v>
      </c>
      <c r="D29" s="132" t="s">
        <v>567</v>
      </c>
      <c r="E29" s="543"/>
      <c r="F29" s="132"/>
      <c r="G29" s="538">
        <v>7500000</v>
      </c>
      <c r="H29" s="132" t="s">
        <v>1740</v>
      </c>
    </row>
    <row r="30" spans="1:8" s="134" customFormat="1" ht="30" customHeight="1">
      <c r="A30" s="132">
        <v>10</v>
      </c>
      <c r="B30" s="133" t="s">
        <v>1737</v>
      </c>
      <c r="C30" s="133" t="s">
        <v>391</v>
      </c>
      <c r="D30" s="132" t="s">
        <v>567</v>
      </c>
      <c r="E30" s="133">
        <v>1</v>
      </c>
      <c r="F30" s="132" t="s">
        <v>386</v>
      </c>
      <c r="G30" s="539">
        <v>12903800</v>
      </c>
      <c r="H30" s="132" t="s">
        <v>1738</v>
      </c>
    </row>
    <row r="31" spans="1:8" s="134" customFormat="1" ht="30" customHeight="1">
      <c r="A31" s="132">
        <v>11</v>
      </c>
      <c r="B31" s="133" t="s">
        <v>1739</v>
      </c>
      <c r="C31" s="133" t="s">
        <v>391</v>
      </c>
      <c r="D31" s="132" t="s">
        <v>567</v>
      </c>
      <c r="E31" s="133">
        <v>1</v>
      </c>
      <c r="F31" s="132" t="s">
        <v>386</v>
      </c>
      <c r="G31" s="539">
        <v>1170000</v>
      </c>
      <c r="H31" s="132" t="s">
        <v>1738</v>
      </c>
    </row>
    <row r="32" spans="1:8" s="134" customFormat="1" ht="30" customHeight="1">
      <c r="A32" s="133">
        <v>12</v>
      </c>
      <c r="B32" s="133" t="s">
        <v>1747</v>
      </c>
      <c r="C32" s="133" t="s">
        <v>1741</v>
      </c>
      <c r="D32" s="132" t="s">
        <v>567</v>
      </c>
      <c r="E32" s="544" t="s">
        <v>1742</v>
      </c>
      <c r="F32" s="132" t="s">
        <v>1743</v>
      </c>
      <c r="G32" s="539">
        <v>224408894</v>
      </c>
      <c r="H32" s="132" t="s">
        <v>1744</v>
      </c>
    </row>
    <row r="33" spans="1:8" s="134" customFormat="1" ht="30" customHeight="1">
      <c r="A33" s="133">
        <v>13</v>
      </c>
      <c r="B33" s="134" t="s">
        <v>1745</v>
      </c>
      <c r="C33" s="133" t="s">
        <v>391</v>
      </c>
      <c r="D33" s="132" t="s">
        <v>567</v>
      </c>
      <c r="E33" s="133">
        <v>30</v>
      </c>
      <c r="F33" s="132" t="s">
        <v>1731</v>
      </c>
      <c r="G33" s="133">
        <v>0</v>
      </c>
      <c r="H33" s="132" t="s">
        <v>1746</v>
      </c>
    </row>
    <row r="34" spans="1:8" s="134" customFormat="1" ht="30" customHeight="1">
      <c r="A34" s="133">
        <v>14</v>
      </c>
      <c r="B34" s="133" t="s">
        <v>1733</v>
      </c>
      <c r="C34" s="133" t="s">
        <v>391</v>
      </c>
      <c r="D34" s="132" t="s">
        <v>567</v>
      </c>
      <c r="E34" s="543">
        <v>11</v>
      </c>
      <c r="F34" s="132" t="s">
        <v>1731</v>
      </c>
      <c r="G34" s="538">
        <v>957600</v>
      </c>
      <c r="H34" s="132" t="s">
        <v>1735</v>
      </c>
    </row>
    <row r="35" spans="1:8" s="134" customFormat="1" ht="30" customHeight="1">
      <c r="A35" s="133">
        <v>15</v>
      </c>
      <c r="B35" s="133" t="s">
        <v>1734</v>
      </c>
      <c r="C35" s="133" t="s">
        <v>391</v>
      </c>
      <c r="D35" s="132" t="s">
        <v>567</v>
      </c>
      <c r="E35" s="543">
        <v>5</v>
      </c>
      <c r="F35" s="132" t="s">
        <v>1731</v>
      </c>
      <c r="G35" s="538">
        <v>2052000</v>
      </c>
      <c r="H35" s="132" t="s">
        <v>1735</v>
      </c>
    </row>
    <row r="36" spans="1:8" s="134" customFormat="1" ht="6" hidden="1" customHeight="1">
      <c r="A36" s="132"/>
      <c r="B36" s="133"/>
      <c r="C36" s="133"/>
      <c r="D36" s="132"/>
      <c r="E36" s="135"/>
      <c r="F36" s="132"/>
      <c r="G36" s="540"/>
      <c r="H36" s="132"/>
    </row>
    <row r="37" spans="1:8" s="138" customFormat="1" ht="25.5" customHeight="1">
      <c r="A37" s="674" t="s">
        <v>394</v>
      </c>
      <c r="B37" s="675"/>
      <c r="C37" s="675"/>
      <c r="D37" s="676"/>
      <c r="E37" s="136">
        <v>0</v>
      </c>
      <c r="F37" s="137"/>
      <c r="G37" s="541">
        <f>SUM(G21:G35)</f>
        <v>5201772294</v>
      </c>
      <c r="H37" s="137"/>
    </row>
    <row r="38" spans="1:8">
      <c r="A38" s="677"/>
      <c r="B38" s="678"/>
      <c r="C38" s="678"/>
      <c r="D38" s="679"/>
      <c r="E38" s="127"/>
      <c r="F38" s="128"/>
      <c r="G38" s="542"/>
      <c r="H38" s="139"/>
    </row>
    <row r="43" spans="1:8">
      <c r="F43" s="671" t="s">
        <v>565</v>
      </c>
      <c r="G43" s="672"/>
      <c r="H43" s="672"/>
    </row>
    <row r="44" spans="1:8">
      <c r="F44" s="672" t="s">
        <v>491</v>
      </c>
      <c r="G44" s="672"/>
      <c r="H44" s="672"/>
    </row>
    <row r="49" spans="6:8">
      <c r="F49" s="673" t="s">
        <v>560</v>
      </c>
      <c r="G49" s="672"/>
      <c r="H49" s="672"/>
    </row>
  </sheetData>
  <mergeCells count="10">
    <mergeCell ref="F43:H43"/>
    <mergeCell ref="F44:H44"/>
    <mergeCell ref="F49:H49"/>
    <mergeCell ref="A37:D38"/>
    <mergeCell ref="A10:H10"/>
    <mergeCell ref="A11:H11"/>
    <mergeCell ref="A18:A19"/>
    <mergeCell ref="B18:B19"/>
    <mergeCell ref="C18:F18"/>
    <mergeCell ref="G18:H18"/>
  </mergeCells>
  <printOptions horizontalCentered="1"/>
  <pageMargins left="0.70866141732283472" right="0.51181102362204722" top="0.55118110236220474" bottom="0.55118110236220474" header="0.31496062992125984" footer="0.31496062992125984"/>
  <pageSetup paperSize="14" scale="80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4ACB3-6BAD-4BAB-85DB-CBE375BA11BA}">
  <sheetPr>
    <tabColor rgb="FF002060"/>
  </sheetPr>
  <dimension ref="A1:N1744"/>
  <sheetViews>
    <sheetView showGridLines="0" topLeftCell="A56" workbookViewId="0">
      <selection activeCell="F69" sqref="F69"/>
    </sheetView>
  </sheetViews>
  <sheetFormatPr defaultColWidth="9.140625" defaultRowHeight="12.75"/>
  <cols>
    <col min="1" max="1" width="4.28515625" style="186" customWidth="1"/>
    <col min="2" max="2" width="5.42578125" style="187" customWidth="1"/>
    <col min="3" max="3" width="3.5703125" style="140" customWidth="1"/>
    <col min="4" max="4" width="41.5703125" style="140" customWidth="1"/>
    <col min="5" max="5" width="9.7109375" style="140" customWidth="1"/>
    <col min="6" max="6" width="14.140625" style="140" customWidth="1"/>
    <col min="7" max="7" width="14.28515625" style="140" customWidth="1"/>
    <col min="8" max="8" width="15.28515625" style="140" customWidth="1"/>
    <col min="9" max="9" width="11.28515625" style="186" customWidth="1"/>
    <col min="10" max="10" width="19.7109375" style="140" customWidth="1"/>
    <col min="11" max="11" width="8.5703125" style="140" customWidth="1"/>
    <col min="12" max="12" width="43.28515625" style="140" customWidth="1"/>
    <col min="13" max="13" width="0" style="140" hidden="1" customWidth="1"/>
    <col min="14" max="14" width="8.28515625" style="141" customWidth="1"/>
    <col min="15" max="16384" width="9.140625" style="140"/>
  </cols>
  <sheetData>
    <row r="1" spans="1:14" ht="14.25">
      <c r="A1" s="685" t="s">
        <v>574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</row>
    <row r="2" spans="1:14" ht="14.25">
      <c r="A2" s="685" t="s">
        <v>575</v>
      </c>
      <c r="B2" s="685"/>
      <c r="C2" s="685"/>
      <c r="D2" s="685"/>
      <c r="E2" s="685"/>
      <c r="F2" s="685"/>
      <c r="G2" s="685"/>
      <c r="H2" s="685"/>
      <c r="I2" s="685"/>
      <c r="J2" s="685"/>
      <c r="K2" s="685"/>
      <c r="L2" s="685"/>
    </row>
    <row r="3" spans="1:14" ht="14.25">
      <c r="A3" s="685" t="s">
        <v>395</v>
      </c>
      <c r="B3" s="685"/>
      <c r="C3" s="685"/>
      <c r="D3" s="685"/>
      <c r="E3" s="685"/>
      <c r="F3" s="685"/>
      <c r="G3" s="685"/>
      <c r="H3" s="685"/>
      <c r="I3" s="685"/>
      <c r="J3" s="685"/>
      <c r="K3" s="685"/>
      <c r="L3" s="685"/>
    </row>
    <row r="4" spans="1:14" ht="14.25">
      <c r="A4" s="685" t="s">
        <v>396</v>
      </c>
      <c r="B4" s="685"/>
      <c r="C4" s="685"/>
      <c r="D4" s="685"/>
      <c r="E4" s="685"/>
      <c r="F4" s="685"/>
      <c r="G4" s="685"/>
      <c r="H4" s="685"/>
      <c r="I4" s="685"/>
      <c r="J4" s="685"/>
      <c r="K4" s="685"/>
      <c r="L4" s="685"/>
    </row>
    <row r="6" spans="1:14" ht="17.25" customHeight="1">
      <c r="A6" s="686" t="s">
        <v>384</v>
      </c>
      <c r="B6" s="688" t="s">
        <v>397</v>
      </c>
      <c r="C6" s="689"/>
      <c r="D6" s="690"/>
      <c r="E6" s="694" t="s">
        <v>398</v>
      </c>
      <c r="F6" s="695"/>
      <c r="G6" s="696"/>
      <c r="H6" s="697" t="s">
        <v>399</v>
      </c>
      <c r="I6" s="697" t="s">
        <v>400</v>
      </c>
      <c r="J6" s="686" t="s">
        <v>401</v>
      </c>
      <c r="K6" s="697" t="s">
        <v>402</v>
      </c>
      <c r="L6" s="686" t="s">
        <v>403</v>
      </c>
    </row>
    <row r="7" spans="1:14" ht="20.25" customHeight="1" thickBot="1">
      <c r="A7" s="687"/>
      <c r="B7" s="691"/>
      <c r="C7" s="692"/>
      <c r="D7" s="693"/>
      <c r="E7" s="144" t="s">
        <v>387</v>
      </c>
      <c r="F7" s="144" t="s">
        <v>404</v>
      </c>
      <c r="G7" s="144" t="s">
        <v>405</v>
      </c>
      <c r="H7" s="698"/>
      <c r="I7" s="698"/>
      <c r="J7" s="687"/>
      <c r="K7" s="698"/>
      <c r="L7" s="687"/>
    </row>
    <row r="8" spans="1:14" ht="13.5" customHeight="1">
      <c r="A8" s="145">
        <v>1</v>
      </c>
      <c r="B8" s="146"/>
      <c r="C8" s="147"/>
      <c r="D8" s="148">
        <v>2</v>
      </c>
      <c r="E8" s="149">
        <v>3</v>
      </c>
      <c r="F8" s="145">
        <v>4</v>
      </c>
      <c r="G8" s="145">
        <v>5</v>
      </c>
      <c r="H8" s="145">
        <v>6</v>
      </c>
      <c r="I8" s="145">
        <v>7</v>
      </c>
      <c r="J8" s="145">
        <v>8</v>
      </c>
      <c r="K8" s="145">
        <v>9</v>
      </c>
      <c r="L8" s="145">
        <v>10</v>
      </c>
    </row>
    <row r="9" spans="1:14" s="157" customFormat="1">
      <c r="A9" s="150" t="s">
        <v>312</v>
      </c>
      <c r="B9" s="151" t="s">
        <v>207</v>
      </c>
      <c r="C9" s="152"/>
      <c r="D9" s="153"/>
      <c r="E9" s="154"/>
      <c r="F9" s="150"/>
      <c r="G9" s="155"/>
      <c r="H9" s="154"/>
      <c r="I9" s="150"/>
      <c r="J9" s="156"/>
      <c r="K9" s="150"/>
      <c r="L9" s="154"/>
      <c r="N9" s="158"/>
    </row>
    <row r="10" spans="1:14">
      <c r="A10" s="159"/>
      <c r="B10" s="160" t="str">
        <f>M10&amp;"."</f>
        <v>1.</v>
      </c>
      <c r="C10" s="161" t="s">
        <v>406</v>
      </c>
      <c r="D10" s="162"/>
      <c r="E10" s="163"/>
      <c r="F10" s="159"/>
      <c r="G10" s="164"/>
      <c r="H10" s="163"/>
      <c r="I10" s="159"/>
      <c r="J10" s="165"/>
      <c r="K10" s="159"/>
      <c r="L10" s="163"/>
      <c r="M10" s="140">
        <v>1</v>
      </c>
    </row>
    <row r="11" spans="1:14">
      <c r="A11" s="159"/>
      <c r="B11" s="160"/>
      <c r="C11" s="166"/>
      <c r="D11" s="162"/>
      <c r="E11" s="163"/>
      <c r="F11" s="159"/>
      <c r="G11" s="164"/>
      <c r="H11" s="163"/>
      <c r="I11" s="159"/>
      <c r="J11" s="165"/>
      <c r="K11" s="159"/>
      <c r="L11" s="163"/>
    </row>
    <row r="12" spans="1:14" s="157" customFormat="1">
      <c r="A12" s="150" t="s">
        <v>314</v>
      </c>
      <c r="B12" s="167" t="s">
        <v>208</v>
      </c>
      <c r="C12" s="152"/>
      <c r="D12" s="153"/>
      <c r="E12" s="154"/>
      <c r="F12" s="150"/>
      <c r="G12" s="155"/>
      <c r="H12" s="154"/>
      <c r="I12" s="150"/>
      <c r="J12" s="156"/>
      <c r="K12" s="150"/>
      <c r="L12" s="154"/>
      <c r="N12" s="158"/>
    </row>
    <row r="13" spans="1:14" ht="15">
      <c r="A13" s="159"/>
      <c r="B13" s="143" t="str">
        <f>N13&amp;"."</f>
        <v>1.</v>
      </c>
      <c r="C13" s="205" t="s">
        <v>576</v>
      </c>
      <c r="D13" s="162"/>
      <c r="E13" s="163"/>
      <c r="F13" s="159"/>
      <c r="G13" s="164"/>
      <c r="H13" s="204" t="s">
        <v>632</v>
      </c>
      <c r="I13" s="206">
        <v>2006</v>
      </c>
      <c r="J13" s="208">
        <v>320000</v>
      </c>
      <c r="K13" s="206" t="s">
        <v>408</v>
      </c>
      <c r="L13" s="204" t="s">
        <v>780</v>
      </c>
      <c r="N13" s="141">
        <v>1</v>
      </c>
    </row>
    <row r="14" spans="1:14" ht="15">
      <c r="A14" s="159"/>
      <c r="B14" s="143" t="str">
        <f t="shared" ref="B14:B158" si="0">N14&amp;"."</f>
        <v>2.</v>
      </c>
      <c r="C14" s="205" t="s">
        <v>576</v>
      </c>
      <c r="D14" s="162"/>
      <c r="E14" s="163"/>
      <c r="F14" s="159"/>
      <c r="G14" s="164"/>
      <c r="H14" s="204" t="s">
        <v>632</v>
      </c>
      <c r="I14" s="206">
        <v>2007</v>
      </c>
      <c r="J14" s="208">
        <v>300000</v>
      </c>
      <c r="K14" s="206" t="s">
        <v>408</v>
      </c>
      <c r="L14" s="204" t="s">
        <v>781</v>
      </c>
      <c r="N14" s="141">
        <f>N13+1</f>
        <v>2</v>
      </c>
    </row>
    <row r="15" spans="1:14" ht="15">
      <c r="A15" s="159"/>
      <c r="B15" s="143" t="str">
        <f t="shared" si="0"/>
        <v>3.</v>
      </c>
      <c r="C15" s="205" t="s">
        <v>576</v>
      </c>
      <c r="D15" s="162"/>
      <c r="E15" s="163"/>
      <c r="F15" s="159"/>
      <c r="G15" s="164"/>
      <c r="H15" s="204" t="s">
        <v>632</v>
      </c>
      <c r="I15" s="206">
        <v>2007</v>
      </c>
      <c r="J15" s="208">
        <v>2250000</v>
      </c>
      <c r="K15" s="206" t="s">
        <v>725</v>
      </c>
      <c r="L15" s="204" t="s">
        <v>781</v>
      </c>
      <c r="N15" s="141">
        <f t="shared" ref="N15:N78" si="1">N14+1</f>
        <v>3</v>
      </c>
    </row>
    <row r="16" spans="1:14" ht="15">
      <c r="A16" s="159"/>
      <c r="B16" s="143" t="str">
        <f t="shared" si="0"/>
        <v>4.</v>
      </c>
      <c r="C16" s="205" t="s">
        <v>577</v>
      </c>
      <c r="D16" s="162"/>
      <c r="E16" s="163"/>
      <c r="F16" s="159"/>
      <c r="G16" s="164"/>
      <c r="H16" s="204" t="s">
        <v>633</v>
      </c>
      <c r="I16" s="206">
        <v>2007</v>
      </c>
      <c r="J16" s="209">
        <v>1450000</v>
      </c>
      <c r="K16" s="206" t="s">
        <v>407</v>
      </c>
      <c r="L16" s="204" t="s">
        <v>782</v>
      </c>
      <c r="N16" s="141">
        <f t="shared" si="1"/>
        <v>4</v>
      </c>
    </row>
    <row r="17" spans="1:14" ht="15">
      <c r="A17" s="159"/>
      <c r="B17" s="143" t="str">
        <f t="shared" si="0"/>
        <v>5.</v>
      </c>
      <c r="C17" s="205" t="s">
        <v>578</v>
      </c>
      <c r="D17" s="162"/>
      <c r="E17" s="163"/>
      <c r="F17" s="159"/>
      <c r="G17" s="164"/>
      <c r="H17" s="204" t="s">
        <v>634</v>
      </c>
      <c r="I17" s="206" t="s">
        <v>692</v>
      </c>
      <c r="J17" s="209">
        <v>1900000</v>
      </c>
      <c r="K17" s="206" t="s">
        <v>408</v>
      </c>
      <c r="L17" s="204" t="s">
        <v>783</v>
      </c>
      <c r="N17" s="141">
        <f t="shared" si="1"/>
        <v>5</v>
      </c>
    </row>
    <row r="18" spans="1:14" ht="15">
      <c r="A18" s="159"/>
      <c r="B18" s="143" t="str">
        <f t="shared" si="0"/>
        <v>6.</v>
      </c>
      <c r="C18" s="205" t="s">
        <v>578</v>
      </c>
      <c r="D18" s="162"/>
      <c r="E18" s="163"/>
      <c r="F18" s="159"/>
      <c r="G18" s="164"/>
      <c r="H18" s="204" t="s">
        <v>634</v>
      </c>
      <c r="I18" s="206" t="s">
        <v>692</v>
      </c>
      <c r="J18" s="209">
        <v>1800000</v>
      </c>
      <c r="K18" s="206" t="s">
        <v>408</v>
      </c>
      <c r="L18" s="204" t="s">
        <v>784</v>
      </c>
      <c r="N18" s="141">
        <f t="shared" si="1"/>
        <v>6</v>
      </c>
    </row>
    <row r="19" spans="1:14" ht="15">
      <c r="A19" s="159"/>
      <c r="B19" s="143" t="str">
        <f t="shared" si="0"/>
        <v>7.</v>
      </c>
      <c r="C19" s="205" t="s">
        <v>579</v>
      </c>
      <c r="D19" s="162"/>
      <c r="E19" s="163"/>
      <c r="F19" s="159"/>
      <c r="G19" s="164"/>
      <c r="H19" s="204" t="s">
        <v>635</v>
      </c>
      <c r="I19" s="206">
        <v>2013</v>
      </c>
      <c r="J19" s="209">
        <v>500000</v>
      </c>
      <c r="K19" s="206" t="s">
        <v>726</v>
      </c>
      <c r="L19" s="204" t="s">
        <v>785</v>
      </c>
      <c r="N19" s="141">
        <f t="shared" si="1"/>
        <v>7</v>
      </c>
    </row>
    <row r="20" spans="1:14" ht="15">
      <c r="A20" s="159"/>
      <c r="B20" s="143" t="str">
        <f t="shared" si="0"/>
        <v>8.</v>
      </c>
      <c r="C20" s="205" t="s">
        <v>580</v>
      </c>
      <c r="D20" s="162"/>
      <c r="E20" s="163"/>
      <c r="F20" s="159"/>
      <c r="G20" s="164"/>
      <c r="H20" s="204" t="s">
        <v>636</v>
      </c>
      <c r="I20" s="207" t="s">
        <v>693</v>
      </c>
      <c r="J20" s="209">
        <v>2000000</v>
      </c>
      <c r="K20" s="206" t="s">
        <v>407</v>
      </c>
      <c r="L20" s="204" t="s">
        <v>786</v>
      </c>
      <c r="N20" s="141">
        <f t="shared" si="1"/>
        <v>8</v>
      </c>
    </row>
    <row r="21" spans="1:14" ht="15">
      <c r="A21" s="159"/>
      <c r="B21" s="143" t="str">
        <f t="shared" si="0"/>
        <v>9.</v>
      </c>
      <c r="C21" s="205" t="s">
        <v>581</v>
      </c>
      <c r="D21" s="162"/>
      <c r="E21" s="163"/>
      <c r="F21" s="159"/>
      <c r="G21" s="164"/>
      <c r="H21" s="204" t="s">
        <v>637</v>
      </c>
      <c r="I21" s="206">
        <v>2014</v>
      </c>
      <c r="J21" s="209">
        <v>1800000</v>
      </c>
      <c r="K21" s="206" t="s">
        <v>408</v>
      </c>
      <c r="L21" s="204" t="s">
        <v>787</v>
      </c>
      <c r="N21" s="141">
        <f t="shared" si="1"/>
        <v>9</v>
      </c>
    </row>
    <row r="22" spans="1:14" ht="15">
      <c r="A22" s="159"/>
      <c r="B22" s="143" t="str">
        <f t="shared" si="0"/>
        <v>10.</v>
      </c>
      <c r="C22" s="205" t="s">
        <v>582</v>
      </c>
      <c r="D22" s="162"/>
      <c r="E22" s="163"/>
      <c r="F22" s="159"/>
      <c r="G22" s="164"/>
      <c r="H22" s="204" t="s">
        <v>638</v>
      </c>
      <c r="I22" s="206">
        <v>2014</v>
      </c>
      <c r="J22" s="209">
        <v>3000000</v>
      </c>
      <c r="K22" s="206" t="s">
        <v>407</v>
      </c>
      <c r="L22" s="204" t="s">
        <v>788</v>
      </c>
      <c r="N22" s="141">
        <f t="shared" si="1"/>
        <v>10</v>
      </c>
    </row>
    <row r="23" spans="1:14" ht="15">
      <c r="A23" s="159"/>
      <c r="B23" s="143" t="str">
        <f t="shared" si="0"/>
        <v>11.</v>
      </c>
      <c r="C23" s="205" t="s">
        <v>578</v>
      </c>
      <c r="D23" s="162"/>
      <c r="E23" s="163"/>
      <c r="F23" s="159"/>
      <c r="G23" s="164"/>
      <c r="H23" s="204" t="s">
        <v>634</v>
      </c>
      <c r="I23" s="206">
        <v>2014</v>
      </c>
      <c r="J23" s="209">
        <v>4000000</v>
      </c>
      <c r="K23" s="206" t="s">
        <v>408</v>
      </c>
      <c r="L23" s="204" t="s">
        <v>789</v>
      </c>
      <c r="N23" s="141">
        <f t="shared" si="1"/>
        <v>11</v>
      </c>
    </row>
    <row r="24" spans="1:14" ht="15">
      <c r="A24" s="159"/>
      <c r="B24" s="143" t="str">
        <f t="shared" si="0"/>
        <v>12.</v>
      </c>
      <c r="C24" s="205" t="s">
        <v>583</v>
      </c>
      <c r="D24" s="162"/>
      <c r="E24" s="163"/>
      <c r="F24" s="159"/>
      <c r="G24" s="164"/>
      <c r="H24" s="204" t="s">
        <v>639</v>
      </c>
      <c r="I24" s="207" t="s">
        <v>693</v>
      </c>
      <c r="J24" s="209">
        <v>9916500</v>
      </c>
      <c r="K24" s="206" t="s">
        <v>407</v>
      </c>
      <c r="L24" s="204" t="s">
        <v>790</v>
      </c>
      <c r="N24" s="141">
        <f t="shared" si="1"/>
        <v>12</v>
      </c>
    </row>
    <row r="25" spans="1:14" ht="15">
      <c r="A25" s="159"/>
      <c r="B25" s="143" t="str">
        <f t="shared" si="0"/>
        <v>13.</v>
      </c>
      <c r="C25" s="205" t="s">
        <v>584</v>
      </c>
      <c r="D25" s="162"/>
      <c r="E25" s="163"/>
      <c r="F25" s="549" t="s">
        <v>1769</v>
      </c>
      <c r="G25" s="549" t="s">
        <v>694</v>
      </c>
      <c r="H25" s="204" t="s">
        <v>640</v>
      </c>
      <c r="I25" s="207" t="s">
        <v>694</v>
      </c>
      <c r="J25" s="209">
        <v>10000000</v>
      </c>
      <c r="K25" s="206" t="s">
        <v>407</v>
      </c>
      <c r="L25" s="204" t="s">
        <v>791</v>
      </c>
      <c r="N25" s="141">
        <f t="shared" si="1"/>
        <v>13</v>
      </c>
    </row>
    <row r="26" spans="1:14" ht="15">
      <c r="A26" s="159"/>
      <c r="B26" s="143" t="str">
        <f t="shared" si="0"/>
        <v>14.</v>
      </c>
      <c r="C26" s="205" t="s">
        <v>585</v>
      </c>
      <c r="D26" s="162"/>
      <c r="E26" s="163"/>
      <c r="F26" s="551" t="s">
        <v>1780</v>
      </c>
      <c r="G26" s="551" t="s">
        <v>695</v>
      </c>
      <c r="H26" s="204" t="s">
        <v>641</v>
      </c>
      <c r="I26" s="207" t="s">
        <v>695</v>
      </c>
      <c r="J26" s="208">
        <v>8000000</v>
      </c>
      <c r="K26" s="206" t="s">
        <v>407</v>
      </c>
      <c r="L26" s="204" t="s">
        <v>792</v>
      </c>
      <c r="N26" s="141">
        <f t="shared" si="1"/>
        <v>14</v>
      </c>
    </row>
    <row r="27" spans="1:14" ht="15">
      <c r="A27" s="159"/>
      <c r="B27" s="143" t="str">
        <f t="shared" si="0"/>
        <v>15.</v>
      </c>
      <c r="C27" s="205" t="s">
        <v>586</v>
      </c>
      <c r="D27" s="162"/>
      <c r="E27" s="163"/>
      <c r="F27" s="549" t="s">
        <v>1767</v>
      </c>
      <c r="G27" s="549" t="s">
        <v>696</v>
      </c>
      <c r="H27" s="204" t="s">
        <v>642</v>
      </c>
      <c r="I27" s="207" t="s">
        <v>696</v>
      </c>
      <c r="J27" s="208">
        <v>7715000</v>
      </c>
      <c r="K27" s="206" t="s">
        <v>408</v>
      </c>
      <c r="L27" s="204" t="s">
        <v>793</v>
      </c>
      <c r="N27" s="141">
        <f t="shared" si="1"/>
        <v>15</v>
      </c>
    </row>
    <row r="28" spans="1:14" ht="15">
      <c r="A28" s="159"/>
      <c r="B28" s="143" t="str">
        <f t="shared" si="0"/>
        <v>16.</v>
      </c>
      <c r="C28" s="205" t="s">
        <v>587</v>
      </c>
      <c r="D28" s="162"/>
      <c r="E28" s="163"/>
      <c r="F28" s="546" t="s">
        <v>1767</v>
      </c>
      <c r="G28" s="546" t="s">
        <v>696</v>
      </c>
      <c r="H28" s="204" t="s">
        <v>643</v>
      </c>
      <c r="I28" s="207" t="s">
        <v>696</v>
      </c>
      <c r="J28" s="208">
        <v>2750000</v>
      </c>
      <c r="K28" s="206" t="s">
        <v>408</v>
      </c>
      <c r="L28" s="204" t="s">
        <v>794</v>
      </c>
      <c r="N28" s="141">
        <f t="shared" si="1"/>
        <v>16</v>
      </c>
    </row>
    <row r="29" spans="1:14" ht="15">
      <c r="A29" s="159"/>
      <c r="B29" s="143" t="str">
        <f t="shared" si="0"/>
        <v>17.</v>
      </c>
      <c r="C29" s="205" t="s">
        <v>587</v>
      </c>
      <c r="D29" s="162"/>
      <c r="E29" s="163"/>
      <c r="F29" s="546" t="s">
        <v>1767</v>
      </c>
      <c r="G29" s="546" t="s">
        <v>696</v>
      </c>
      <c r="H29" s="204" t="s">
        <v>643</v>
      </c>
      <c r="I29" s="207" t="s">
        <v>696</v>
      </c>
      <c r="J29" s="208">
        <v>2750000</v>
      </c>
      <c r="K29" s="206" t="s">
        <v>408</v>
      </c>
      <c r="L29" s="204" t="s">
        <v>794</v>
      </c>
      <c r="N29" s="141">
        <f t="shared" si="1"/>
        <v>17</v>
      </c>
    </row>
    <row r="30" spans="1:14" ht="15">
      <c r="A30" s="159"/>
      <c r="B30" s="143" t="str">
        <f t="shared" si="0"/>
        <v>18.</v>
      </c>
      <c r="C30" s="205" t="s">
        <v>588</v>
      </c>
      <c r="D30" s="162"/>
      <c r="E30" s="163"/>
      <c r="F30" s="159"/>
      <c r="G30" s="164"/>
      <c r="H30" s="204" t="s">
        <v>644</v>
      </c>
      <c r="I30" s="207" t="s">
        <v>697</v>
      </c>
      <c r="J30" s="208">
        <v>8000000</v>
      </c>
      <c r="K30" s="206" t="s">
        <v>408</v>
      </c>
      <c r="L30" s="204" t="s">
        <v>795</v>
      </c>
      <c r="N30" s="141">
        <f t="shared" si="1"/>
        <v>18</v>
      </c>
    </row>
    <row r="31" spans="1:14" ht="30">
      <c r="A31" s="159"/>
      <c r="B31" s="143" t="str">
        <f t="shared" si="0"/>
        <v>19.</v>
      </c>
      <c r="C31" s="205" t="s">
        <v>587</v>
      </c>
      <c r="D31" s="162"/>
      <c r="E31" s="163"/>
      <c r="F31" s="547" t="s">
        <v>1768</v>
      </c>
      <c r="G31" s="548">
        <v>43134</v>
      </c>
      <c r="H31" s="204" t="s">
        <v>643</v>
      </c>
      <c r="I31" s="207" t="s">
        <v>698</v>
      </c>
      <c r="J31" s="208">
        <v>2125000</v>
      </c>
      <c r="K31" s="206" t="s">
        <v>407</v>
      </c>
      <c r="L31" s="204" t="s">
        <v>796</v>
      </c>
      <c r="N31" s="141">
        <f t="shared" si="1"/>
        <v>19</v>
      </c>
    </row>
    <row r="32" spans="1:14" ht="15">
      <c r="A32" s="159"/>
      <c r="B32" s="143" t="str">
        <f t="shared" si="0"/>
        <v>20.</v>
      </c>
      <c r="C32" s="205" t="s">
        <v>454</v>
      </c>
      <c r="D32" s="162"/>
      <c r="E32" s="163"/>
      <c r="F32" s="159"/>
      <c r="G32" s="164"/>
      <c r="H32" s="204" t="s">
        <v>645</v>
      </c>
      <c r="I32" s="207" t="s">
        <v>698</v>
      </c>
      <c r="J32" s="208">
        <v>900000</v>
      </c>
      <c r="K32" s="206" t="s">
        <v>408</v>
      </c>
      <c r="L32" s="204" t="s">
        <v>797</v>
      </c>
      <c r="N32" s="141">
        <f t="shared" si="1"/>
        <v>20</v>
      </c>
    </row>
    <row r="33" spans="1:14" ht="15">
      <c r="A33" s="159"/>
      <c r="B33" s="143" t="str">
        <f t="shared" si="0"/>
        <v>21.</v>
      </c>
      <c r="C33" s="205" t="s">
        <v>454</v>
      </c>
      <c r="D33" s="162"/>
      <c r="E33" s="163"/>
      <c r="F33" s="159"/>
      <c r="G33" s="164"/>
      <c r="H33" s="204" t="s">
        <v>645</v>
      </c>
      <c r="I33" s="207" t="s">
        <v>698</v>
      </c>
      <c r="J33" s="208">
        <v>450000</v>
      </c>
      <c r="K33" s="206" t="s">
        <v>408</v>
      </c>
      <c r="L33" s="204" t="s">
        <v>797</v>
      </c>
      <c r="N33" s="141">
        <f t="shared" si="1"/>
        <v>21</v>
      </c>
    </row>
    <row r="34" spans="1:14" ht="15">
      <c r="A34" s="159"/>
      <c r="B34" s="143" t="str">
        <f t="shared" si="0"/>
        <v>22.</v>
      </c>
      <c r="C34" s="205" t="s">
        <v>454</v>
      </c>
      <c r="D34" s="162"/>
      <c r="E34" s="163"/>
      <c r="F34" s="159"/>
      <c r="G34" s="164"/>
      <c r="H34" s="204" t="s">
        <v>645</v>
      </c>
      <c r="I34" s="207" t="s">
        <v>698</v>
      </c>
      <c r="J34" s="208">
        <v>450000</v>
      </c>
      <c r="K34" s="206" t="s">
        <v>408</v>
      </c>
      <c r="L34" s="204" t="s">
        <v>797</v>
      </c>
      <c r="N34" s="141">
        <f t="shared" si="1"/>
        <v>22</v>
      </c>
    </row>
    <row r="35" spans="1:14" ht="15">
      <c r="A35" s="159"/>
      <c r="B35" s="143" t="str">
        <f t="shared" si="0"/>
        <v>23.</v>
      </c>
      <c r="C35" s="205" t="s">
        <v>454</v>
      </c>
      <c r="D35" s="162"/>
      <c r="E35" s="163"/>
      <c r="F35" s="159"/>
      <c r="G35" s="164"/>
      <c r="H35" s="204" t="s">
        <v>645</v>
      </c>
      <c r="I35" s="207" t="s">
        <v>698</v>
      </c>
      <c r="J35" s="208">
        <v>900000</v>
      </c>
      <c r="K35" s="206" t="s">
        <v>725</v>
      </c>
      <c r="L35" s="204" t="s">
        <v>797</v>
      </c>
      <c r="N35" s="141">
        <f t="shared" si="1"/>
        <v>23</v>
      </c>
    </row>
    <row r="36" spans="1:14" ht="15">
      <c r="A36" s="159"/>
      <c r="B36" s="143" t="str">
        <f t="shared" si="0"/>
        <v>24.</v>
      </c>
      <c r="C36" s="205" t="s">
        <v>582</v>
      </c>
      <c r="D36" s="162"/>
      <c r="E36" s="163"/>
      <c r="F36" s="159"/>
      <c r="G36" s="164"/>
      <c r="H36" s="204" t="s">
        <v>638</v>
      </c>
      <c r="I36" s="207" t="s">
        <v>698</v>
      </c>
      <c r="J36" s="208">
        <v>450000</v>
      </c>
      <c r="K36" s="206" t="s">
        <v>407</v>
      </c>
      <c r="L36" s="204" t="s">
        <v>788</v>
      </c>
      <c r="N36" s="141">
        <f t="shared" si="1"/>
        <v>24</v>
      </c>
    </row>
    <row r="37" spans="1:14" ht="15">
      <c r="A37" s="159"/>
      <c r="B37" s="143" t="str">
        <f t="shared" si="0"/>
        <v>25.</v>
      </c>
      <c r="C37" s="205" t="s">
        <v>582</v>
      </c>
      <c r="D37" s="162"/>
      <c r="E37" s="163"/>
      <c r="F37" s="159"/>
      <c r="G37" s="164"/>
      <c r="H37" s="204" t="s">
        <v>638</v>
      </c>
      <c r="I37" s="207" t="s">
        <v>698</v>
      </c>
      <c r="J37" s="208">
        <v>450000</v>
      </c>
      <c r="K37" s="206" t="s">
        <v>407</v>
      </c>
      <c r="L37" s="204" t="s">
        <v>788</v>
      </c>
      <c r="N37" s="141">
        <f t="shared" si="1"/>
        <v>25</v>
      </c>
    </row>
    <row r="38" spans="1:14" ht="15">
      <c r="A38" s="159"/>
      <c r="B38" s="143" t="str">
        <f t="shared" si="0"/>
        <v>26.</v>
      </c>
      <c r="C38" s="205" t="s">
        <v>582</v>
      </c>
      <c r="D38" s="162"/>
      <c r="E38" s="163"/>
      <c r="F38" s="159"/>
      <c r="G38" s="164"/>
      <c r="H38" s="204" t="s">
        <v>638</v>
      </c>
      <c r="I38" s="207" t="s">
        <v>698</v>
      </c>
      <c r="J38" s="208">
        <v>450000</v>
      </c>
      <c r="K38" s="206" t="s">
        <v>407</v>
      </c>
      <c r="L38" s="204" t="s">
        <v>788</v>
      </c>
      <c r="N38" s="141">
        <f t="shared" si="1"/>
        <v>26</v>
      </c>
    </row>
    <row r="39" spans="1:14" ht="15">
      <c r="A39" s="159"/>
      <c r="B39" s="143" t="str">
        <f t="shared" si="0"/>
        <v>27.</v>
      </c>
      <c r="C39" s="205" t="s">
        <v>582</v>
      </c>
      <c r="D39" s="162"/>
      <c r="E39" s="163"/>
      <c r="F39" s="159"/>
      <c r="G39" s="164"/>
      <c r="H39" s="204" t="s">
        <v>638</v>
      </c>
      <c r="I39" s="207" t="s">
        <v>698</v>
      </c>
      <c r="J39" s="208">
        <v>450000</v>
      </c>
      <c r="K39" s="206" t="s">
        <v>408</v>
      </c>
      <c r="L39" s="204" t="s">
        <v>788</v>
      </c>
      <c r="N39" s="141">
        <f t="shared" si="1"/>
        <v>27</v>
      </c>
    </row>
    <row r="40" spans="1:14" ht="15">
      <c r="A40" s="159"/>
      <c r="B40" s="143" t="str">
        <f t="shared" si="0"/>
        <v>28.</v>
      </c>
      <c r="C40" s="205" t="s">
        <v>582</v>
      </c>
      <c r="D40" s="162"/>
      <c r="E40" s="163"/>
      <c r="F40" s="159"/>
      <c r="G40" s="164"/>
      <c r="H40" s="204" t="s">
        <v>638</v>
      </c>
      <c r="I40" s="207" t="s">
        <v>698</v>
      </c>
      <c r="J40" s="208">
        <v>900000</v>
      </c>
      <c r="K40" s="206" t="s">
        <v>725</v>
      </c>
      <c r="L40" s="204" t="s">
        <v>788</v>
      </c>
      <c r="N40" s="141">
        <f t="shared" si="1"/>
        <v>28</v>
      </c>
    </row>
    <row r="41" spans="1:14" ht="15">
      <c r="A41" s="159"/>
      <c r="B41" s="143" t="str">
        <f t="shared" si="0"/>
        <v>29.</v>
      </c>
      <c r="C41" s="205" t="s">
        <v>589</v>
      </c>
      <c r="D41" s="162"/>
      <c r="E41" s="163"/>
      <c r="F41" s="159"/>
      <c r="G41" s="164"/>
      <c r="H41" s="204" t="s">
        <v>646</v>
      </c>
      <c r="I41" s="207" t="s">
        <v>699</v>
      </c>
      <c r="J41" s="208">
        <v>158694</v>
      </c>
      <c r="K41" s="206" t="s">
        <v>408</v>
      </c>
      <c r="L41" s="204" t="s">
        <v>798</v>
      </c>
      <c r="N41" s="141">
        <f t="shared" si="1"/>
        <v>29</v>
      </c>
    </row>
    <row r="42" spans="1:14" ht="15">
      <c r="A42" s="159"/>
      <c r="B42" s="143" t="str">
        <f t="shared" si="0"/>
        <v>30.</v>
      </c>
      <c r="C42" s="205" t="s">
        <v>589</v>
      </c>
      <c r="D42" s="162"/>
      <c r="E42" s="163"/>
      <c r="F42" s="159"/>
      <c r="G42" s="164"/>
      <c r="H42" s="204" t="s">
        <v>646</v>
      </c>
      <c r="I42" s="207" t="s">
        <v>699</v>
      </c>
      <c r="J42" s="208">
        <v>125947</v>
      </c>
      <c r="K42" s="206" t="s">
        <v>408</v>
      </c>
      <c r="L42" s="204" t="s">
        <v>798</v>
      </c>
      <c r="N42" s="141">
        <f t="shared" si="1"/>
        <v>30</v>
      </c>
    </row>
    <row r="43" spans="1:14" ht="15">
      <c r="A43" s="159"/>
      <c r="B43" s="143" t="str">
        <f t="shared" si="0"/>
        <v>31.</v>
      </c>
      <c r="C43" s="205" t="s">
        <v>589</v>
      </c>
      <c r="D43" s="162"/>
      <c r="E43" s="163"/>
      <c r="F43" s="159"/>
      <c r="G43" s="164"/>
      <c r="H43" s="204" t="s">
        <v>646</v>
      </c>
      <c r="I43" s="207" t="s">
        <v>699</v>
      </c>
      <c r="J43" s="208">
        <v>158694</v>
      </c>
      <c r="K43" s="206" t="s">
        <v>408</v>
      </c>
      <c r="L43" s="204" t="s">
        <v>798</v>
      </c>
      <c r="N43" s="141">
        <f t="shared" si="1"/>
        <v>31</v>
      </c>
    </row>
    <row r="44" spans="1:14" ht="15">
      <c r="A44" s="159"/>
      <c r="B44" s="143" t="str">
        <f t="shared" si="0"/>
        <v>32.</v>
      </c>
      <c r="C44" s="205" t="s">
        <v>589</v>
      </c>
      <c r="D44" s="162"/>
      <c r="E44" s="163"/>
      <c r="F44" s="159"/>
      <c r="G44" s="164"/>
      <c r="H44" s="204" t="s">
        <v>646</v>
      </c>
      <c r="I44" s="207" t="s">
        <v>699</v>
      </c>
      <c r="J44" s="208">
        <v>125947</v>
      </c>
      <c r="K44" s="206" t="s">
        <v>408</v>
      </c>
      <c r="L44" s="204" t="s">
        <v>798</v>
      </c>
      <c r="N44" s="141">
        <f t="shared" si="1"/>
        <v>32</v>
      </c>
    </row>
    <row r="45" spans="1:14" ht="15">
      <c r="A45" s="159"/>
      <c r="B45" s="143" t="str">
        <f t="shared" si="0"/>
        <v>33.</v>
      </c>
      <c r="C45" s="205" t="s">
        <v>589</v>
      </c>
      <c r="D45" s="162"/>
      <c r="E45" s="163"/>
      <c r="F45" s="159"/>
      <c r="G45" s="164"/>
      <c r="H45" s="204" t="s">
        <v>646</v>
      </c>
      <c r="I45" s="207" t="s">
        <v>699</v>
      </c>
      <c r="J45" s="208">
        <v>158694</v>
      </c>
      <c r="K45" s="206" t="s">
        <v>408</v>
      </c>
      <c r="L45" s="204" t="s">
        <v>798</v>
      </c>
      <c r="N45" s="141">
        <f t="shared" si="1"/>
        <v>33</v>
      </c>
    </row>
    <row r="46" spans="1:14" ht="15">
      <c r="A46" s="159"/>
      <c r="B46" s="143" t="str">
        <f t="shared" si="0"/>
        <v>34.</v>
      </c>
      <c r="C46" s="205" t="s">
        <v>589</v>
      </c>
      <c r="D46" s="162"/>
      <c r="E46" s="163"/>
      <c r="F46" s="159"/>
      <c r="G46" s="164"/>
      <c r="H46" s="204" t="s">
        <v>646</v>
      </c>
      <c r="I46" s="207" t="s">
        <v>699</v>
      </c>
      <c r="J46" s="208">
        <v>125947</v>
      </c>
      <c r="K46" s="206" t="s">
        <v>408</v>
      </c>
      <c r="L46" s="204" t="s">
        <v>798</v>
      </c>
      <c r="N46" s="141">
        <f t="shared" si="1"/>
        <v>34</v>
      </c>
    </row>
    <row r="47" spans="1:14" ht="15">
      <c r="A47" s="159"/>
      <c r="B47" s="143" t="str">
        <f t="shared" si="0"/>
        <v>35.</v>
      </c>
      <c r="C47" s="205" t="s">
        <v>589</v>
      </c>
      <c r="D47" s="162"/>
      <c r="E47" s="163"/>
      <c r="F47" s="159"/>
      <c r="G47" s="164"/>
      <c r="H47" s="204" t="s">
        <v>646</v>
      </c>
      <c r="I47" s="207" t="s">
        <v>699</v>
      </c>
      <c r="J47" s="208">
        <v>158694</v>
      </c>
      <c r="K47" s="206" t="s">
        <v>408</v>
      </c>
      <c r="L47" s="204" t="s">
        <v>798</v>
      </c>
      <c r="N47" s="141">
        <f t="shared" si="1"/>
        <v>35</v>
      </c>
    </row>
    <row r="48" spans="1:14" ht="15">
      <c r="A48" s="159"/>
      <c r="B48" s="143" t="str">
        <f t="shared" si="0"/>
        <v>36.</v>
      </c>
      <c r="C48" s="205" t="s">
        <v>589</v>
      </c>
      <c r="D48" s="162"/>
      <c r="E48" s="163"/>
      <c r="F48" s="159"/>
      <c r="G48" s="164"/>
      <c r="H48" s="204" t="s">
        <v>646</v>
      </c>
      <c r="I48" s="207" t="s">
        <v>699</v>
      </c>
      <c r="J48" s="208">
        <v>125947</v>
      </c>
      <c r="K48" s="206" t="s">
        <v>408</v>
      </c>
      <c r="L48" s="204" t="s">
        <v>798</v>
      </c>
      <c r="N48" s="141">
        <f t="shared" si="1"/>
        <v>36</v>
      </c>
    </row>
    <row r="49" spans="1:14" ht="15">
      <c r="A49" s="159"/>
      <c r="B49" s="143" t="str">
        <f t="shared" si="0"/>
        <v>37.</v>
      </c>
      <c r="C49" s="205" t="s">
        <v>589</v>
      </c>
      <c r="D49" s="162"/>
      <c r="E49" s="163"/>
      <c r="F49" s="159"/>
      <c r="G49" s="164"/>
      <c r="H49" s="204" t="s">
        <v>646</v>
      </c>
      <c r="I49" s="207" t="s">
        <v>699</v>
      </c>
      <c r="J49" s="208">
        <v>158694</v>
      </c>
      <c r="K49" s="206" t="s">
        <v>408</v>
      </c>
      <c r="L49" s="204" t="s">
        <v>798</v>
      </c>
      <c r="N49" s="141">
        <f t="shared" si="1"/>
        <v>37</v>
      </c>
    </row>
    <row r="50" spans="1:14" ht="15">
      <c r="A50" s="159"/>
      <c r="B50" s="143" t="str">
        <f t="shared" si="0"/>
        <v>38.</v>
      </c>
      <c r="C50" s="205" t="s">
        <v>589</v>
      </c>
      <c r="D50" s="162"/>
      <c r="E50" s="163"/>
      <c r="F50" s="159"/>
      <c r="G50" s="164"/>
      <c r="H50" s="204" t="s">
        <v>646</v>
      </c>
      <c r="I50" s="207" t="s">
        <v>699</v>
      </c>
      <c r="J50" s="208">
        <v>125947</v>
      </c>
      <c r="K50" s="206" t="s">
        <v>408</v>
      </c>
      <c r="L50" s="204" t="s">
        <v>798</v>
      </c>
      <c r="N50" s="141">
        <f t="shared" si="1"/>
        <v>38</v>
      </c>
    </row>
    <row r="51" spans="1:14" ht="15">
      <c r="A51" s="159"/>
      <c r="B51" s="143" t="str">
        <f t="shared" si="0"/>
        <v>39.</v>
      </c>
      <c r="C51" s="205" t="s">
        <v>589</v>
      </c>
      <c r="D51" s="162"/>
      <c r="E51" s="163"/>
      <c r="F51" s="159"/>
      <c r="G51" s="164"/>
      <c r="H51" s="204" t="s">
        <v>646</v>
      </c>
      <c r="I51" s="207" t="s">
        <v>699</v>
      </c>
      <c r="J51" s="208">
        <v>158694</v>
      </c>
      <c r="K51" s="206" t="s">
        <v>408</v>
      </c>
      <c r="L51" s="204" t="s">
        <v>798</v>
      </c>
      <c r="N51" s="141">
        <f t="shared" si="1"/>
        <v>39</v>
      </c>
    </row>
    <row r="52" spans="1:14" ht="15">
      <c r="A52" s="159"/>
      <c r="B52" s="143" t="str">
        <f t="shared" si="0"/>
        <v>40.</v>
      </c>
      <c r="C52" s="205" t="s">
        <v>589</v>
      </c>
      <c r="D52" s="162"/>
      <c r="E52" s="163"/>
      <c r="F52" s="159"/>
      <c r="G52" s="164"/>
      <c r="H52" s="204" t="s">
        <v>646</v>
      </c>
      <c r="I52" s="207" t="s">
        <v>699</v>
      </c>
      <c r="J52" s="208">
        <v>125947</v>
      </c>
      <c r="K52" s="206" t="s">
        <v>408</v>
      </c>
      <c r="L52" s="204" t="s">
        <v>798</v>
      </c>
      <c r="N52" s="141">
        <f t="shared" si="1"/>
        <v>40</v>
      </c>
    </row>
    <row r="53" spans="1:14" ht="15">
      <c r="A53" s="159"/>
      <c r="B53" s="143" t="str">
        <f t="shared" si="0"/>
        <v>41.</v>
      </c>
      <c r="C53" s="205" t="s">
        <v>589</v>
      </c>
      <c r="D53" s="162"/>
      <c r="E53" s="163"/>
      <c r="F53" s="159"/>
      <c r="G53" s="164"/>
      <c r="H53" s="204" t="s">
        <v>646</v>
      </c>
      <c r="I53" s="207" t="s">
        <v>699</v>
      </c>
      <c r="J53" s="208">
        <v>158694</v>
      </c>
      <c r="K53" s="206" t="s">
        <v>408</v>
      </c>
      <c r="L53" s="204" t="s">
        <v>798</v>
      </c>
      <c r="N53" s="141">
        <f t="shared" si="1"/>
        <v>41</v>
      </c>
    </row>
    <row r="54" spans="1:14" ht="15">
      <c r="A54" s="159"/>
      <c r="B54" s="143" t="str">
        <f t="shared" si="0"/>
        <v>42.</v>
      </c>
      <c r="C54" s="205" t="s">
        <v>589</v>
      </c>
      <c r="D54" s="162"/>
      <c r="E54" s="163"/>
      <c r="F54" s="159"/>
      <c r="G54" s="164"/>
      <c r="H54" s="204" t="s">
        <v>646</v>
      </c>
      <c r="I54" s="207" t="s">
        <v>699</v>
      </c>
      <c r="J54" s="208">
        <v>125947</v>
      </c>
      <c r="K54" s="206" t="s">
        <v>408</v>
      </c>
      <c r="L54" s="204" t="s">
        <v>798</v>
      </c>
      <c r="N54" s="141">
        <f t="shared" si="1"/>
        <v>42</v>
      </c>
    </row>
    <row r="55" spans="1:14" ht="15">
      <c r="A55" s="159"/>
      <c r="B55" s="143" t="str">
        <f t="shared" si="0"/>
        <v>43.</v>
      </c>
      <c r="C55" s="205" t="s">
        <v>589</v>
      </c>
      <c r="D55" s="162"/>
      <c r="E55" s="163"/>
      <c r="F55" s="159"/>
      <c r="G55" s="164"/>
      <c r="H55" s="204" t="s">
        <v>646</v>
      </c>
      <c r="I55" s="207" t="s">
        <v>699</v>
      </c>
      <c r="J55" s="208">
        <v>183196</v>
      </c>
      <c r="K55" s="206" t="s">
        <v>408</v>
      </c>
      <c r="L55" s="204" t="s">
        <v>798</v>
      </c>
      <c r="N55" s="141">
        <f t="shared" si="1"/>
        <v>43</v>
      </c>
    </row>
    <row r="56" spans="1:14" ht="15">
      <c r="A56" s="159"/>
      <c r="B56" s="143" t="str">
        <f t="shared" si="0"/>
        <v>44.</v>
      </c>
      <c r="C56" s="205" t="s">
        <v>589</v>
      </c>
      <c r="D56" s="162"/>
      <c r="E56" s="163"/>
      <c r="F56" s="159"/>
      <c r="G56" s="164"/>
      <c r="H56" s="204" t="s">
        <v>646</v>
      </c>
      <c r="I56" s="207" t="s">
        <v>699</v>
      </c>
      <c r="J56" s="208">
        <v>109917</v>
      </c>
      <c r="K56" s="206" t="s">
        <v>408</v>
      </c>
      <c r="L56" s="204" t="s">
        <v>798</v>
      </c>
      <c r="N56" s="141">
        <f t="shared" si="1"/>
        <v>44</v>
      </c>
    </row>
    <row r="57" spans="1:14" ht="15">
      <c r="A57" s="159"/>
      <c r="B57" s="143" t="str">
        <f t="shared" si="0"/>
        <v>45.</v>
      </c>
      <c r="C57" s="205" t="s">
        <v>589</v>
      </c>
      <c r="D57" s="162"/>
      <c r="E57" s="163"/>
      <c r="F57" s="159"/>
      <c r="G57" s="164"/>
      <c r="H57" s="204" t="s">
        <v>646</v>
      </c>
      <c r="I57" s="207" t="s">
        <v>699</v>
      </c>
      <c r="J57" s="208">
        <v>247314</v>
      </c>
      <c r="K57" s="206" t="s">
        <v>408</v>
      </c>
      <c r="L57" s="204" t="s">
        <v>798</v>
      </c>
      <c r="N57" s="141">
        <f t="shared" si="1"/>
        <v>45</v>
      </c>
    </row>
    <row r="58" spans="1:14" ht="15">
      <c r="A58" s="159"/>
      <c r="B58" s="143" t="str">
        <f t="shared" si="0"/>
        <v>46.</v>
      </c>
      <c r="C58" s="205" t="s">
        <v>589</v>
      </c>
      <c r="D58" s="162"/>
      <c r="E58" s="163"/>
      <c r="F58" s="159"/>
      <c r="G58" s="164"/>
      <c r="H58" s="204" t="s">
        <v>646</v>
      </c>
      <c r="I58" s="207" t="s">
        <v>699</v>
      </c>
      <c r="J58" s="208">
        <v>1190776</v>
      </c>
      <c r="K58" s="206" t="s">
        <v>408</v>
      </c>
      <c r="L58" s="204" t="s">
        <v>798</v>
      </c>
      <c r="N58" s="141">
        <f t="shared" si="1"/>
        <v>46</v>
      </c>
    </row>
    <row r="59" spans="1:14" ht="15">
      <c r="A59" s="159"/>
      <c r="B59" s="143" t="str">
        <f t="shared" si="0"/>
        <v>47.</v>
      </c>
      <c r="C59" s="205" t="s">
        <v>589</v>
      </c>
      <c r="D59" s="162"/>
      <c r="E59" s="163"/>
      <c r="F59" s="159"/>
      <c r="G59" s="164"/>
      <c r="H59" s="204" t="s">
        <v>646</v>
      </c>
      <c r="I59" s="207" t="s">
        <v>699</v>
      </c>
      <c r="J59" s="208">
        <v>476310</v>
      </c>
      <c r="K59" s="206" t="s">
        <v>408</v>
      </c>
      <c r="L59" s="204" t="s">
        <v>798</v>
      </c>
      <c r="N59" s="141">
        <f t="shared" si="1"/>
        <v>47</v>
      </c>
    </row>
    <row r="60" spans="1:14" ht="15">
      <c r="A60" s="159"/>
      <c r="B60" s="143" t="str">
        <f t="shared" si="0"/>
        <v>48.</v>
      </c>
      <c r="C60" s="205" t="s">
        <v>584</v>
      </c>
      <c r="D60" s="162"/>
      <c r="E60" s="163"/>
      <c r="F60" s="159"/>
      <c r="G60" s="164"/>
      <c r="H60" s="204" t="s">
        <v>640</v>
      </c>
      <c r="I60" s="207" t="s">
        <v>700</v>
      </c>
      <c r="J60" s="208">
        <v>6968750</v>
      </c>
      <c r="K60" s="206" t="s">
        <v>408</v>
      </c>
      <c r="L60" s="204" t="s">
        <v>799</v>
      </c>
      <c r="N60" s="141">
        <f t="shared" si="1"/>
        <v>48</v>
      </c>
    </row>
    <row r="61" spans="1:14" ht="15">
      <c r="A61" s="159"/>
      <c r="B61" s="143" t="str">
        <f t="shared" si="0"/>
        <v>49.</v>
      </c>
      <c r="C61" s="205" t="s">
        <v>582</v>
      </c>
      <c r="D61" s="162"/>
      <c r="E61" s="163"/>
      <c r="F61" s="159"/>
      <c r="G61" s="164"/>
      <c r="H61" s="204" t="s">
        <v>638</v>
      </c>
      <c r="I61" s="207" t="s">
        <v>701</v>
      </c>
      <c r="J61" s="208">
        <v>8701000</v>
      </c>
      <c r="K61" s="206" t="s">
        <v>408</v>
      </c>
      <c r="L61" s="204" t="s">
        <v>800</v>
      </c>
      <c r="N61" s="141">
        <f t="shared" si="1"/>
        <v>49</v>
      </c>
    </row>
    <row r="62" spans="1:14" ht="15">
      <c r="A62" s="159"/>
      <c r="B62" s="143" t="str">
        <f t="shared" si="0"/>
        <v>50.</v>
      </c>
      <c r="C62" s="205" t="s">
        <v>590</v>
      </c>
      <c r="D62" s="162"/>
      <c r="E62" s="163"/>
      <c r="F62" s="159"/>
      <c r="G62" s="164"/>
      <c r="H62" s="204" t="s">
        <v>647</v>
      </c>
      <c r="I62" s="207" t="s">
        <v>702</v>
      </c>
      <c r="J62" s="208">
        <v>1243000</v>
      </c>
      <c r="K62" s="206" t="s">
        <v>408</v>
      </c>
      <c r="L62" s="204" t="s">
        <v>801</v>
      </c>
      <c r="N62" s="141">
        <f t="shared" si="1"/>
        <v>50</v>
      </c>
    </row>
    <row r="63" spans="1:14" ht="15">
      <c r="A63" s="159"/>
      <c r="B63" s="143" t="str">
        <f t="shared" si="0"/>
        <v>51.</v>
      </c>
      <c r="C63" s="205" t="s">
        <v>591</v>
      </c>
      <c r="D63" s="162"/>
      <c r="E63" s="163"/>
      <c r="F63" s="159"/>
      <c r="G63" s="164"/>
      <c r="H63" s="204" t="s">
        <v>648</v>
      </c>
      <c r="I63" s="207" t="s">
        <v>703</v>
      </c>
      <c r="J63" s="208">
        <v>7247500</v>
      </c>
      <c r="K63" s="206" t="s">
        <v>407</v>
      </c>
      <c r="L63" s="204" t="s">
        <v>802</v>
      </c>
      <c r="N63" s="141">
        <f t="shared" si="1"/>
        <v>51</v>
      </c>
    </row>
    <row r="64" spans="1:14" ht="15">
      <c r="A64" s="159"/>
      <c r="B64" s="143" t="str">
        <f t="shared" si="0"/>
        <v>52.</v>
      </c>
      <c r="C64" s="205" t="s">
        <v>587</v>
      </c>
      <c r="D64" s="162"/>
      <c r="E64" s="163"/>
      <c r="F64" s="159"/>
      <c r="G64" s="164"/>
      <c r="H64" s="204" t="s">
        <v>643</v>
      </c>
      <c r="I64" s="207">
        <v>44065</v>
      </c>
      <c r="J64" s="208">
        <v>4143500</v>
      </c>
      <c r="K64" s="206" t="s">
        <v>408</v>
      </c>
      <c r="L64" s="204" t="s">
        <v>803</v>
      </c>
      <c r="N64" s="141">
        <f t="shared" si="1"/>
        <v>52</v>
      </c>
    </row>
    <row r="65" spans="1:14" ht="15">
      <c r="A65" s="159"/>
      <c r="B65" s="143" t="str">
        <f t="shared" si="0"/>
        <v>53.</v>
      </c>
      <c r="C65" s="205" t="s">
        <v>592</v>
      </c>
      <c r="D65" s="162"/>
      <c r="E65" s="163"/>
      <c r="F65" s="159"/>
      <c r="G65" s="164"/>
      <c r="H65" s="204" t="s">
        <v>649</v>
      </c>
      <c r="I65" s="207" t="s">
        <v>704</v>
      </c>
      <c r="J65" s="208">
        <v>3450000</v>
      </c>
      <c r="K65" s="206" t="s">
        <v>408</v>
      </c>
      <c r="L65" s="204" t="s">
        <v>804</v>
      </c>
      <c r="N65" s="141">
        <f t="shared" si="1"/>
        <v>53</v>
      </c>
    </row>
    <row r="66" spans="1:14" ht="15">
      <c r="A66" s="159"/>
      <c r="B66" s="143" t="str">
        <f t="shared" si="0"/>
        <v>54.</v>
      </c>
      <c r="C66" s="205" t="s">
        <v>592</v>
      </c>
      <c r="D66" s="162"/>
      <c r="E66" s="163"/>
      <c r="F66" s="159"/>
      <c r="G66" s="164"/>
      <c r="H66" s="204" t="s">
        <v>649</v>
      </c>
      <c r="I66" s="207" t="s">
        <v>705</v>
      </c>
      <c r="J66" s="208">
        <v>2310000</v>
      </c>
      <c r="K66" s="206" t="s">
        <v>408</v>
      </c>
      <c r="L66" s="204" t="s">
        <v>805</v>
      </c>
      <c r="N66" s="141">
        <f t="shared" si="1"/>
        <v>54</v>
      </c>
    </row>
    <row r="67" spans="1:14" ht="15">
      <c r="A67" s="159"/>
      <c r="B67" s="143" t="str">
        <f t="shared" si="0"/>
        <v>55.</v>
      </c>
      <c r="C67" s="205" t="s">
        <v>592</v>
      </c>
      <c r="D67" s="162"/>
      <c r="E67" s="163"/>
      <c r="F67" s="159"/>
      <c r="G67" s="164"/>
      <c r="H67" s="204" t="s">
        <v>649</v>
      </c>
      <c r="I67" s="207" t="s">
        <v>705</v>
      </c>
      <c r="J67" s="208">
        <v>2310000</v>
      </c>
      <c r="K67" s="206" t="s">
        <v>408</v>
      </c>
      <c r="L67" s="204" t="s">
        <v>805</v>
      </c>
      <c r="N67" s="141">
        <f t="shared" si="1"/>
        <v>55</v>
      </c>
    </row>
    <row r="68" spans="1:14" ht="15">
      <c r="A68" s="159"/>
      <c r="B68" s="143" t="str">
        <f t="shared" si="0"/>
        <v>56.</v>
      </c>
      <c r="C68" s="205" t="s">
        <v>593</v>
      </c>
      <c r="D68" s="162"/>
      <c r="E68" s="163"/>
      <c r="F68" s="159"/>
      <c r="G68" s="164"/>
      <c r="H68" s="204" t="s">
        <v>650</v>
      </c>
      <c r="I68" s="207" t="s">
        <v>706</v>
      </c>
      <c r="J68" s="208">
        <v>1150000</v>
      </c>
      <c r="K68" s="206" t="s">
        <v>408</v>
      </c>
      <c r="L68" s="204" t="s">
        <v>806</v>
      </c>
      <c r="N68" s="141">
        <f t="shared" si="1"/>
        <v>56</v>
      </c>
    </row>
    <row r="69" spans="1:14" ht="15">
      <c r="A69" s="159"/>
      <c r="B69" s="143" t="str">
        <f t="shared" si="0"/>
        <v>57.</v>
      </c>
      <c r="C69" s="205" t="s">
        <v>587</v>
      </c>
      <c r="D69" s="162"/>
      <c r="E69" s="163"/>
      <c r="F69" s="159"/>
      <c r="G69" s="164"/>
      <c r="H69" s="204" t="s">
        <v>643</v>
      </c>
      <c r="I69" s="207" t="s">
        <v>706</v>
      </c>
      <c r="J69" s="208">
        <v>3233500</v>
      </c>
      <c r="K69" s="206" t="s">
        <v>408</v>
      </c>
      <c r="L69" s="204" t="s">
        <v>807</v>
      </c>
      <c r="N69" s="141">
        <f t="shared" si="1"/>
        <v>57</v>
      </c>
    </row>
    <row r="70" spans="1:14" ht="15">
      <c r="A70" s="159"/>
      <c r="B70" s="143" t="str">
        <f t="shared" si="0"/>
        <v>58.</v>
      </c>
      <c r="C70" s="205" t="s">
        <v>591</v>
      </c>
      <c r="D70" s="162"/>
      <c r="E70" s="163"/>
      <c r="F70" s="159"/>
      <c r="G70" s="164"/>
      <c r="H70" s="204" t="s">
        <v>648</v>
      </c>
      <c r="I70" s="207" t="s">
        <v>706</v>
      </c>
      <c r="J70" s="208">
        <v>7314000</v>
      </c>
      <c r="K70" s="206" t="s">
        <v>408</v>
      </c>
      <c r="L70" s="204" t="s">
        <v>808</v>
      </c>
      <c r="N70" s="141">
        <f t="shared" si="1"/>
        <v>58</v>
      </c>
    </row>
    <row r="71" spans="1:14" ht="15">
      <c r="A71" s="159"/>
      <c r="B71" s="143" t="str">
        <f t="shared" si="0"/>
        <v>59.</v>
      </c>
      <c r="C71" s="205" t="s">
        <v>594</v>
      </c>
      <c r="D71" s="162"/>
      <c r="E71" s="163"/>
      <c r="F71" s="159"/>
      <c r="G71" s="164"/>
      <c r="H71" s="204" t="s">
        <v>651</v>
      </c>
      <c r="I71" s="207" t="s">
        <v>707</v>
      </c>
      <c r="J71" s="208">
        <v>1700000</v>
      </c>
      <c r="K71" s="206" t="s">
        <v>408</v>
      </c>
      <c r="L71" s="204" t="s">
        <v>809</v>
      </c>
      <c r="N71" s="141">
        <f t="shared" si="1"/>
        <v>59</v>
      </c>
    </row>
    <row r="72" spans="1:14" ht="75">
      <c r="A72" s="159"/>
      <c r="B72" s="143" t="str">
        <f t="shared" si="0"/>
        <v>60.</v>
      </c>
      <c r="C72" s="205" t="s">
        <v>594</v>
      </c>
      <c r="D72" s="162"/>
      <c r="E72" s="163"/>
      <c r="F72" s="545" t="s">
        <v>1748</v>
      </c>
      <c r="G72" s="164"/>
      <c r="H72" s="204" t="s">
        <v>651</v>
      </c>
      <c r="I72" s="207" t="s">
        <v>708</v>
      </c>
      <c r="J72" s="208">
        <v>155330</v>
      </c>
      <c r="K72" s="206" t="s">
        <v>408</v>
      </c>
      <c r="L72" s="204" t="s">
        <v>810</v>
      </c>
      <c r="N72" s="141">
        <f t="shared" si="1"/>
        <v>60</v>
      </c>
    </row>
    <row r="73" spans="1:14" ht="45">
      <c r="A73" s="159"/>
      <c r="B73" s="143" t="str">
        <f t="shared" si="0"/>
        <v>61.</v>
      </c>
      <c r="C73" s="205" t="s">
        <v>595</v>
      </c>
      <c r="D73" s="162"/>
      <c r="E73" s="163"/>
      <c r="F73" s="545" t="s">
        <v>1750</v>
      </c>
      <c r="G73" s="164" t="s">
        <v>1749</v>
      </c>
      <c r="H73" s="204" t="s">
        <v>652</v>
      </c>
      <c r="I73" s="207" t="s">
        <v>709</v>
      </c>
      <c r="J73" s="208">
        <v>851400</v>
      </c>
      <c r="K73" s="206" t="s">
        <v>408</v>
      </c>
      <c r="L73" s="204" t="s">
        <v>811</v>
      </c>
      <c r="N73" s="141">
        <f t="shared" si="1"/>
        <v>61</v>
      </c>
    </row>
    <row r="74" spans="1:14" ht="30">
      <c r="A74" s="159"/>
      <c r="B74" s="143" t="str">
        <f t="shared" si="0"/>
        <v>62.</v>
      </c>
      <c r="C74" s="205" t="s">
        <v>596</v>
      </c>
      <c r="D74" s="162"/>
      <c r="E74" s="163"/>
      <c r="F74" s="159"/>
      <c r="G74" s="164"/>
      <c r="H74" s="204" t="s">
        <v>653</v>
      </c>
      <c r="I74" s="207" t="s">
        <v>710</v>
      </c>
      <c r="J74" s="208">
        <v>3260000</v>
      </c>
      <c r="K74" s="206" t="s">
        <v>408</v>
      </c>
      <c r="L74" s="204" t="s">
        <v>812</v>
      </c>
      <c r="N74" s="141">
        <f t="shared" si="1"/>
        <v>62</v>
      </c>
    </row>
    <row r="75" spans="1:14" ht="15">
      <c r="A75" s="159"/>
      <c r="B75" s="143" t="str">
        <f t="shared" si="0"/>
        <v>63.</v>
      </c>
      <c r="C75" s="205" t="s">
        <v>597</v>
      </c>
      <c r="D75" s="162"/>
      <c r="E75" s="163"/>
      <c r="F75" s="159"/>
      <c r="G75" s="164"/>
      <c r="H75" s="204" t="s">
        <v>654</v>
      </c>
      <c r="I75" s="207" t="s">
        <v>711</v>
      </c>
      <c r="J75" s="208">
        <v>1680000</v>
      </c>
      <c r="K75" s="206" t="s">
        <v>408</v>
      </c>
      <c r="L75" s="204" t="s">
        <v>813</v>
      </c>
      <c r="N75" s="141">
        <f t="shared" si="1"/>
        <v>63</v>
      </c>
    </row>
    <row r="76" spans="1:14" ht="30">
      <c r="A76" s="159"/>
      <c r="B76" s="143" t="str">
        <f t="shared" si="0"/>
        <v>64.</v>
      </c>
      <c r="C76" s="205" t="s">
        <v>591</v>
      </c>
      <c r="D76" s="162"/>
      <c r="E76" s="163"/>
      <c r="F76" s="551" t="s">
        <v>1770</v>
      </c>
      <c r="G76" s="552">
        <v>44526</v>
      </c>
      <c r="H76" s="204" t="s">
        <v>648</v>
      </c>
      <c r="I76" s="207" t="s">
        <v>712</v>
      </c>
      <c r="J76" s="208">
        <v>16525000</v>
      </c>
      <c r="K76" s="206" t="s">
        <v>407</v>
      </c>
      <c r="L76" s="204" t="s">
        <v>814</v>
      </c>
      <c r="N76" s="141">
        <f t="shared" si="1"/>
        <v>64</v>
      </c>
    </row>
    <row r="77" spans="1:14" ht="15">
      <c r="A77" s="159"/>
      <c r="B77" s="143" t="str">
        <f t="shared" si="0"/>
        <v>65.</v>
      </c>
      <c r="C77" s="205" t="s">
        <v>598</v>
      </c>
      <c r="D77" s="162"/>
      <c r="E77" s="163"/>
      <c r="F77" s="159"/>
      <c r="G77" s="164"/>
      <c r="H77" s="204" t="s">
        <v>655</v>
      </c>
      <c r="I77" s="207" t="s">
        <v>713</v>
      </c>
      <c r="J77" s="208">
        <v>3500000</v>
      </c>
      <c r="K77" s="206" t="s">
        <v>408</v>
      </c>
      <c r="L77" s="204" t="s">
        <v>815</v>
      </c>
      <c r="N77" s="141">
        <f t="shared" si="1"/>
        <v>65</v>
      </c>
    </row>
    <row r="78" spans="1:14" ht="15">
      <c r="A78" s="159"/>
      <c r="B78" s="143" t="str">
        <f t="shared" si="0"/>
        <v>66.</v>
      </c>
      <c r="C78" s="205" t="s">
        <v>599</v>
      </c>
      <c r="D78" s="162"/>
      <c r="E78" s="163"/>
      <c r="F78" s="159"/>
      <c r="G78" s="164"/>
      <c r="H78" s="204" t="s">
        <v>656</v>
      </c>
      <c r="I78" s="207" t="s">
        <v>713</v>
      </c>
      <c r="J78" s="208">
        <v>2850000</v>
      </c>
      <c r="K78" s="206" t="s">
        <v>408</v>
      </c>
      <c r="L78" s="204" t="s">
        <v>816</v>
      </c>
      <c r="N78" s="141">
        <f t="shared" si="1"/>
        <v>66</v>
      </c>
    </row>
    <row r="79" spans="1:14" ht="45">
      <c r="A79" s="159"/>
      <c r="B79" s="143" t="str">
        <f t="shared" si="0"/>
        <v>67.</v>
      </c>
      <c r="C79" s="205" t="s">
        <v>595</v>
      </c>
      <c r="D79" s="162"/>
      <c r="E79" s="163"/>
      <c r="F79" s="545" t="s">
        <v>1751</v>
      </c>
      <c r="G79" s="164">
        <v>44798</v>
      </c>
      <c r="H79" s="204" t="s">
        <v>652</v>
      </c>
      <c r="I79" s="207" t="s">
        <v>714</v>
      </c>
      <c r="J79" s="208">
        <v>1237584</v>
      </c>
      <c r="K79" s="206" t="s">
        <v>408</v>
      </c>
      <c r="L79" s="204" t="s">
        <v>817</v>
      </c>
      <c r="N79" s="141">
        <f t="shared" ref="N79:N142" si="2">N78+1</f>
        <v>67</v>
      </c>
    </row>
    <row r="80" spans="1:14" ht="30">
      <c r="A80" s="159"/>
      <c r="B80" s="143" t="str">
        <f t="shared" si="0"/>
        <v>68.</v>
      </c>
      <c r="C80" s="205" t="s">
        <v>600</v>
      </c>
      <c r="D80" s="162"/>
      <c r="E80" s="163"/>
      <c r="F80" s="551" t="s">
        <v>1771</v>
      </c>
      <c r="G80" s="552" t="s">
        <v>715</v>
      </c>
      <c r="H80" s="204" t="s">
        <v>657</v>
      </c>
      <c r="I80" s="207" t="s">
        <v>715</v>
      </c>
      <c r="J80" s="208">
        <v>7548000</v>
      </c>
      <c r="K80" s="206" t="s">
        <v>408</v>
      </c>
      <c r="L80" s="204" t="s">
        <v>818</v>
      </c>
      <c r="N80" s="141">
        <f t="shared" si="2"/>
        <v>68</v>
      </c>
    </row>
    <row r="81" spans="1:14" ht="30">
      <c r="A81" s="159"/>
      <c r="B81" s="143" t="str">
        <f t="shared" si="0"/>
        <v>69.</v>
      </c>
      <c r="C81" s="205" t="s">
        <v>601</v>
      </c>
      <c r="D81" s="162"/>
      <c r="E81" s="163"/>
      <c r="F81" s="551" t="s">
        <v>1772</v>
      </c>
      <c r="G81" s="551" t="s">
        <v>715</v>
      </c>
      <c r="H81" s="204" t="s">
        <v>658</v>
      </c>
      <c r="I81" s="207" t="s">
        <v>715</v>
      </c>
      <c r="J81" s="208">
        <v>1150000</v>
      </c>
      <c r="K81" s="206" t="s">
        <v>408</v>
      </c>
      <c r="L81" s="204" t="s">
        <v>819</v>
      </c>
      <c r="N81" s="141">
        <f t="shared" si="2"/>
        <v>69</v>
      </c>
    </row>
    <row r="82" spans="1:14" ht="30">
      <c r="A82" s="159"/>
      <c r="B82" s="143" t="str">
        <f t="shared" si="0"/>
        <v>70.</v>
      </c>
      <c r="C82" s="205" t="s">
        <v>602</v>
      </c>
      <c r="D82" s="162"/>
      <c r="E82" s="163"/>
      <c r="F82" s="551" t="s">
        <v>1772</v>
      </c>
      <c r="G82" s="551" t="s">
        <v>715</v>
      </c>
      <c r="H82" s="204" t="s">
        <v>659</v>
      </c>
      <c r="I82" s="207" t="s">
        <v>715</v>
      </c>
      <c r="J82" s="208">
        <v>1613900</v>
      </c>
      <c r="K82" s="206" t="s">
        <v>408</v>
      </c>
      <c r="L82" s="204" t="s">
        <v>820</v>
      </c>
      <c r="N82" s="141">
        <f t="shared" si="2"/>
        <v>70</v>
      </c>
    </row>
    <row r="83" spans="1:14" ht="15">
      <c r="A83" s="159"/>
      <c r="B83" s="143" t="str">
        <f t="shared" si="0"/>
        <v>71.</v>
      </c>
      <c r="C83" s="205" t="s">
        <v>576</v>
      </c>
      <c r="D83" s="162"/>
      <c r="E83" s="163"/>
      <c r="F83" s="159"/>
      <c r="G83" s="164"/>
      <c r="H83" s="204" t="s">
        <v>632</v>
      </c>
      <c r="I83" s="207" t="s">
        <v>716</v>
      </c>
      <c r="J83" s="208">
        <v>2000000</v>
      </c>
      <c r="K83" s="206" t="s">
        <v>408</v>
      </c>
      <c r="L83" s="204" t="s">
        <v>821</v>
      </c>
      <c r="N83" s="141">
        <f t="shared" si="2"/>
        <v>71</v>
      </c>
    </row>
    <row r="84" spans="1:14" ht="15">
      <c r="A84" s="159"/>
      <c r="B84" s="143" t="str">
        <f t="shared" si="0"/>
        <v>72.</v>
      </c>
      <c r="C84" s="205" t="s">
        <v>576</v>
      </c>
      <c r="D84" s="162"/>
      <c r="E84" s="163"/>
      <c r="F84" s="159"/>
      <c r="G84" s="164"/>
      <c r="H84" s="204" t="s">
        <v>632</v>
      </c>
      <c r="I84" s="207" t="s">
        <v>716</v>
      </c>
      <c r="J84" s="208">
        <v>975000</v>
      </c>
      <c r="K84" s="206" t="s">
        <v>407</v>
      </c>
      <c r="L84" s="204" t="s">
        <v>822</v>
      </c>
      <c r="N84" s="141">
        <f t="shared" si="2"/>
        <v>72</v>
      </c>
    </row>
    <row r="85" spans="1:14" ht="15">
      <c r="A85" s="159"/>
      <c r="B85" s="143" t="str">
        <f t="shared" si="0"/>
        <v>73.</v>
      </c>
      <c r="C85" s="205" t="s">
        <v>576</v>
      </c>
      <c r="D85" s="162"/>
      <c r="E85" s="163"/>
      <c r="F85" s="159"/>
      <c r="G85" s="164"/>
      <c r="H85" s="204" t="s">
        <v>632</v>
      </c>
      <c r="I85" s="207" t="s">
        <v>716</v>
      </c>
      <c r="J85" s="208">
        <v>625000</v>
      </c>
      <c r="K85" s="206" t="s">
        <v>407</v>
      </c>
      <c r="L85" s="204" t="s">
        <v>823</v>
      </c>
      <c r="N85" s="141">
        <f t="shared" si="2"/>
        <v>73</v>
      </c>
    </row>
    <row r="86" spans="1:14" ht="15">
      <c r="A86" s="159"/>
      <c r="B86" s="143" t="str">
        <f t="shared" si="0"/>
        <v>74.</v>
      </c>
      <c r="C86" s="205" t="s">
        <v>576</v>
      </c>
      <c r="D86" s="162"/>
      <c r="E86" s="163"/>
      <c r="F86" s="159"/>
      <c r="G86" s="164"/>
      <c r="H86" s="204" t="s">
        <v>632</v>
      </c>
      <c r="I86" s="207" t="s">
        <v>716</v>
      </c>
      <c r="J86" s="208">
        <v>625000</v>
      </c>
      <c r="K86" s="206" t="s">
        <v>407</v>
      </c>
      <c r="L86" s="204" t="s">
        <v>823</v>
      </c>
      <c r="N86" s="141">
        <f t="shared" si="2"/>
        <v>74</v>
      </c>
    </row>
    <row r="87" spans="1:14" ht="15">
      <c r="A87" s="159"/>
      <c r="B87" s="143" t="str">
        <f t="shared" si="0"/>
        <v>75.</v>
      </c>
      <c r="C87" s="205" t="s">
        <v>576</v>
      </c>
      <c r="D87" s="162"/>
      <c r="E87" s="163"/>
      <c r="F87" s="159"/>
      <c r="G87" s="164"/>
      <c r="H87" s="204" t="s">
        <v>632</v>
      </c>
      <c r="I87" s="207" t="s">
        <v>716</v>
      </c>
      <c r="J87" s="208">
        <v>1250000</v>
      </c>
      <c r="K87" s="206" t="s">
        <v>407</v>
      </c>
      <c r="L87" s="204" t="s">
        <v>823</v>
      </c>
      <c r="N87" s="141">
        <f t="shared" si="2"/>
        <v>75</v>
      </c>
    </row>
    <row r="88" spans="1:14" ht="15">
      <c r="A88" s="159"/>
      <c r="B88" s="143" t="str">
        <f t="shared" si="0"/>
        <v>76.</v>
      </c>
      <c r="C88" s="205" t="s">
        <v>576</v>
      </c>
      <c r="D88" s="162"/>
      <c r="E88" s="163"/>
      <c r="F88" s="159"/>
      <c r="G88" s="164"/>
      <c r="H88" s="204" t="s">
        <v>632</v>
      </c>
      <c r="I88" s="207" t="s">
        <v>716</v>
      </c>
      <c r="J88" s="208">
        <v>1250000</v>
      </c>
      <c r="K88" s="206" t="s">
        <v>407</v>
      </c>
      <c r="L88" s="204" t="s">
        <v>823</v>
      </c>
      <c r="N88" s="141">
        <f t="shared" si="2"/>
        <v>76</v>
      </c>
    </row>
    <row r="89" spans="1:14" ht="15">
      <c r="A89" s="159"/>
      <c r="B89" s="143" t="str">
        <f t="shared" si="0"/>
        <v>77.</v>
      </c>
      <c r="C89" s="205" t="s">
        <v>576</v>
      </c>
      <c r="D89" s="162"/>
      <c r="E89" s="163"/>
      <c r="F89" s="159"/>
      <c r="G89" s="164"/>
      <c r="H89" s="204" t="s">
        <v>632</v>
      </c>
      <c r="I89" s="207" t="s">
        <v>716</v>
      </c>
      <c r="J89" s="208">
        <v>1250000</v>
      </c>
      <c r="K89" s="206" t="s">
        <v>407</v>
      </c>
      <c r="L89" s="204" t="s">
        <v>823</v>
      </c>
      <c r="N89" s="141">
        <f t="shared" si="2"/>
        <v>77</v>
      </c>
    </row>
    <row r="90" spans="1:14" ht="15">
      <c r="A90" s="159"/>
      <c r="B90" s="143" t="str">
        <f t="shared" si="0"/>
        <v>78.</v>
      </c>
      <c r="C90" s="205" t="s">
        <v>576</v>
      </c>
      <c r="D90" s="162"/>
      <c r="E90" s="163"/>
      <c r="F90" s="159"/>
      <c r="G90" s="164"/>
      <c r="H90" s="204" t="s">
        <v>632</v>
      </c>
      <c r="I90" s="207" t="s">
        <v>716</v>
      </c>
      <c r="J90" s="208">
        <v>5625000</v>
      </c>
      <c r="K90" s="206" t="s">
        <v>725</v>
      </c>
      <c r="L90" s="204" t="s">
        <v>823</v>
      </c>
      <c r="N90" s="141">
        <f t="shared" si="2"/>
        <v>78</v>
      </c>
    </row>
    <row r="91" spans="1:14" ht="15">
      <c r="A91" s="159"/>
      <c r="B91" s="143" t="str">
        <f t="shared" si="0"/>
        <v>79.</v>
      </c>
      <c r="C91" s="205" t="s">
        <v>603</v>
      </c>
      <c r="D91" s="162"/>
      <c r="E91" s="163"/>
      <c r="F91" s="159"/>
      <c r="G91" s="164"/>
      <c r="H91" s="204" t="s">
        <v>660</v>
      </c>
      <c r="I91" s="207" t="s">
        <v>717</v>
      </c>
      <c r="J91" s="208">
        <v>7000000</v>
      </c>
      <c r="K91" s="206" t="s">
        <v>407</v>
      </c>
      <c r="L91" s="204" t="s">
        <v>801</v>
      </c>
      <c r="N91" s="141">
        <f t="shared" si="2"/>
        <v>79</v>
      </c>
    </row>
    <row r="92" spans="1:14" ht="60">
      <c r="A92" s="159"/>
      <c r="B92" s="143" t="str">
        <f t="shared" si="0"/>
        <v>80.</v>
      </c>
      <c r="C92" s="205" t="s">
        <v>591</v>
      </c>
      <c r="D92" s="162"/>
      <c r="E92" s="163"/>
      <c r="F92" s="159"/>
      <c r="G92" s="164"/>
      <c r="H92" s="204" t="s">
        <v>648</v>
      </c>
      <c r="I92" s="207" t="s">
        <v>718</v>
      </c>
      <c r="J92" s="208">
        <v>14097000</v>
      </c>
      <c r="K92" s="206" t="s">
        <v>408</v>
      </c>
      <c r="L92" s="204" t="s">
        <v>824</v>
      </c>
      <c r="N92" s="141">
        <f t="shared" si="2"/>
        <v>80</v>
      </c>
    </row>
    <row r="93" spans="1:14" ht="60">
      <c r="A93" s="159"/>
      <c r="B93" s="143" t="str">
        <f t="shared" si="0"/>
        <v>81.</v>
      </c>
      <c r="C93" s="205" t="s">
        <v>591</v>
      </c>
      <c r="D93" s="162"/>
      <c r="E93" s="163"/>
      <c r="F93" s="159"/>
      <c r="G93" s="164"/>
      <c r="H93" s="204" t="s">
        <v>648</v>
      </c>
      <c r="I93" s="207" t="s">
        <v>718</v>
      </c>
      <c r="J93" s="208">
        <v>14097000</v>
      </c>
      <c r="K93" s="206" t="s">
        <v>408</v>
      </c>
      <c r="L93" s="204" t="s">
        <v>824</v>
      </c>
      <c r="N93" s="141">
        <f t="shared" si="2"/>
        <v>81</v>
      </c>
    </row>
    <row r="94" spans="1:14" ht="30">
      <c r="A94" s="159"/>
      <c r="B94" s="143" t="str">
        <f t="shared" si="0"/>
        <v>82.</v>
      </c>
      <c r="C94" s="205" t="s">
        <v>593</v>
      </c>
      <c r="D94" s="162"/>
      <c r="E94" s="163"/>
      <c r="F94" s="550" t="s">
        <v>1773</v>
      </c>
      <c r="G94" s="164"/>
      <c r="H94" s="204" t="s">
        <v>650</v>
      </c>
      <c r="I94" s="207" t="s">
        <v>718</v>
      </c>
      <c r="J94" s="208">
        <v>971250</v>
      </c>
      <c r="K94" s="206" t="s">
        <v>408</v>
      </c>
      <c r="L94" s="204" t="s">
        <v>825</v>
      </c>
      <c r="N94" s="141">
        <f t="shared" si="2"/>
        <v>82</v>
      </c>
    </row>
    <row r="95" spans="1:14" ht="15">
      <c r="A95" s="159"/>
      <c r="B95" s="143" t="str">
        <f t="shared" si="0"/>
        <v>83.</v>
      </c>
      <c r="C95" s="205" t="s">
        <v>593</v>
      </c>
      <c r="D95" s="162"/>
      <c r="E95" s="163"/>
      <c r="F95" s="159"/>
      <c r="G95" s="164"/>
      <c r="H95" s="204" t="s">
        <v>650</v>
      </c>
      <c r="I95" s="207" t="s">
        <v>718</v>
      </c>
      <c r="J95" s="208">
        <v>971250</v>
      </c>
      <c r="K95" s="206" t="s">
        <v>408</v>
      </c>
      <c r="L95" s="204" t="s">
        <v>825</v>
      </c>
      <c r="N95" s="141">
        <f t="shared" si="2"/>
        <v>83</v>
      </c>
    </row>
    <row r="96" spans="1:14" ht="60">
      <c r="A96" s="159"/>
      <c r="B96" s="143" t="str">
        <f t="shared" si="0"/>
        <v>84.</v>
      </c>
      <c r="C96" s="205" t="s">
        <v>591</v>
      </c>
      <c r="D96" s="162"/>
      <c r="E96" s="163"/>
      <c r="F96" s="551" t="s">
        <v>1774</v>
      </c>
      <c r="G96" s="552" t="s">
        <v>719</v>
      </c>
      <c r="H96" s="204" t="s">
        <v>648</v>
      </c>
      <c r="I96" s="207" t="s">
        <v>719</v>
      </c>
      <c r="J96" s="208">
        <v>13000000</v>
      </c>
      <c r="K96" s="206" t="s">
        <v>408</v>
      </c>
      <c r="L96" s="204" t="s">
        <v>824</v>
      </c>
      <c r="N96" s="141">
        <f t="shared" si="2"/>
        <v>84</v>
      </c>
    </row>
    <row r="97" spans="1:14" ht="30">
      <c r="A97" s="159"/>
      <c r="B97" s="143" t="str">
        <f t="shared" si="0"/>
        <v>85.</v>
      </c>
      <c r="C97" s="205" t="s">
        <v>593</v>
      </c>
      <c r="D97" s="162"/>
      <c r="E97" s="163"/>
      <c r="F97" s="550" t="s">
        <v>1774</v>
      </c>
      <c r="G97" s="550" t="s">
        <v>719</v>
      </c>
      <c r="H97" s="204" t="s">
        <v>650</v>
      </c>
      <c r="I97" s="207" t="s">
        <v>719</v>
      </c>
      <c r="J97" s="208">
        <v>970000</v>
      </c>
      <c r="K97" s="206" t="s">
        <v>408</v>
      </c>
      <c r="L97" s="204" t="s">
        <v>825</v>
      </c>
      <c r="N97" s="141">
        <f t="shared" si="2"/>
        <v>85</v>
      </c>
    </row>
    <row r="98" spans="1:14" ht="30">
      <c r="A98" s="159"/>
      <c r="B98" s="143" t="str">
        <f t="shared" si="0"/>
        <v>86.</v>
      </c>
      <c r="C98" s="205" t="s">
        <v>584</v>
      </c>
      <c r="D98" s="162"/>
      <c r="E98" s="163"/>
      <c r="F98" s="551" t="s">
        <v>1775</v>
      </c>
      <c r="G98" s="552">
        <v>45118</v>
      </c>
      <c r="H98" s="204" t="s">
        <v>640</v>
      </c>
      <c r="I98" s="207" t="s">
        <v>720</v>
      </c>
      <c r="J98" s="208">
        <v>9950000</v>
      </c>
      <c r="K98" s="206" t="s">
        <v>408</v>
      </c>
      <c r="L98" s="204" t="s">
        <v>826</v>
      </c>
      <c r="N98" s="141">
        <f t="shared" si="2"/>
        <v>86</v>
      </c>
    </row>
    <row r="99" spans="1:14" ht="15">
      <c r="A99" s="159"/>
      <c r="B99" s="143" t="str">
        <f t="shared" si="0"/>
        <v>87.</v>
      </c>
      <c r="C99" s="205" t="s">
        <v>411</v>
      </c>
      <c r="D99" s="162"/>
      <c r="E99" s="163"/>
      <c r="F99" s="159"/>
      <c r="G99" s="164"/>
      <c r="H99" s="204" t="s">
        <v>661</v>
      </c>
      <c r="I99" s="207" t="s">
        <v>721</v>
      </c>
      <c r="J99" s="208">
        <v>2587500</v>
      </c>
      <c r="K99" s="206" t="s">
        <v>408</v>
      </c>
      <c r="L99" s="204" t="s">
        <v>827</v>
      </c>
      <c r="N99" s="141">
        <f t="shared" si="2"/>
        <v>87</v>
      </c>
    </row>
    <row r="100" spans="1:14" ht="15">
      <c r="A100" s="159"/>
      <c r="B100" s="143" t="str">
        <f t="shared" si="0"/>
        <v>88.</v>
      </c>
      <c r="C100" s="205" t="s">
        <v>580</v>
      </c>
      <c r="D100" s="162"/>
      <c r="E100" s="163"/>
      <c r="F100" s="159"/>
      <c r="G100" s="164"/>
      <c r="H100" s="204" t="s">
        <v>636</v>
      </c>
      <c r="I100" s="207" t="s">
        <v>722</v>
      </c>
      <c r="J100" s="208">
        <v>8850000</v>
      </c>
      <c r="K100" s="206" t="s">
        <v>408</v>
      </c>
      <c r="L100" s="204" t="s">
        <v>828</v>
      </c>
      <c r="N100" s="141">
        <f t="shared" si="2"/>
        <v>88</v>
      </c>
    </row>
    <row r="101" spans="1:14" ht="15">
      <c r="A101" s="159"/>
      <c r="B101" s="143" t="str">
        <f t="shared" si="0"/>
        <v>89.</v>
      </c>
      <c r="C101" s="205" t="s">
        <v>582</v>
      </c>
      <c r="D101" s="162"/>
      <c r="E101" s="163"/>
      <c r="F101" s="159"/>
      <c r="G101" s="164"/>
      <c r="H101" s="204" t="s">
        <v>638</v>
      </c>
      <c r="I101" s="207" t="s">
        <v>722</v>
      </c>
      <c r="J101" s="208">
        <v>1700000</v>
      </c>
      <c r="K101" s="206" t="s">
        <v>408</v>
      </c>
      <c r="L101" s="204" t="s">
        <v>829</v>
      </c>
      <c r="N101" s="141">
        <f t="shared" si="2"/>
        <v>89</v>
      </c>
    </row>
    <row r="102" spans="1:14" ht="15">
      <c r="A102" s="159"/>
      <c r="B102" s="143" t="str">
        <f t="shared" si="0"/>
        <v>90.</v>
      </c>
      <c r="C102" s="205" t="s">
        <v>604</v>
      </c>
      <c r="D102" s="162"/>
      <c r="E102" s="163"/>
      <c r="F102" s="159"/>
      <c r="G102" s="164"/>
      <c r="H102" s="204" t="s">
        <v>662</v>
      </c>
      <c r="I102" s="207" t="s">
        <v>722</v>
      </c>
      <c r="J102" s="208">
        <v>7000000</v>
      </c>
      <c r="K102" s="206" t="s">
        <v>408</v>
      </c>
      <c r="L102" s="204" t="s">
        <v>830</v>
      </c>
      <c r="N102" s="141">
        <f t="shared" si="2"/>
        <v>90</v>
      </c>
    </row>
    <row r="103" spans="1:14" ht="15">
      <c r="A103" s="159"/>
      <c r="B103" s="143" t="str">
        <f t="shared" si="0"/>
        <v>91.</v>
      </c>
      <c r="C103" s="205" t="s">
        <v>605</v>
      </c>
      <c r="D103" s="162"/>
      <c r="E103" s="163"/>
      <c r="F103" s="159"/>
      <c r="G103" s="164"/>
      <c r="H103" s="204" t="s">
        <v>663</v>
      </c>
      <c r="I103" s="207" t="s">
        <v>722</v>
      </c>
      <c r="J103" s="208">
        <v>3900000</v>
      </c>
      <c r="K103" s="206" t="s">
        <v>408</v>
      </c>
      <c r="L103" s="204" t="s">
        <v>831</v>
      </c>
      <c r="N103" s="141">
        <f t="shared" si="2"/>
        <v>91</v>
      </c>
    </row>
    <row r="104" spans="1:14" ht="15">
      <c r="A104" s="159"/>
      <c r="B104" s="143" t="str">
        <f t="shared" si="0"/>
        <v>92.</v>
      </c>
      <c r="C104" s="205" t="s">
        <v>606</v>
      </c>
      <c r="D104" s="162"/>
      <c r="E104" s="163"/>
      <c r="F104" s="159"/>
      <c r="G104" s="164"/>
      <c r="H104" s="204" t="s">
        <v>664</v>
      </c>
      <c r="I104" s="207" t="s">
        <v>723</v>
      </c>
      <c r="J104" s="208">
        <v>900000</v>
      </c>
      <c r="K104" s="206" t="s">
        <v>408</v>
      </c>
      <c r="L104" s="204" t="s">
        <v>832</v>
      </c>
      <c r="N104" s="141">
        <f t="shared" si="2"/>
        <v>92</v>
      </c>
    </row>
    <row r="105" spans="1:14" ht="15">
      <c r="A105" s="159"/>
      <c r="B105" s="143" t="str">
        <f t="shared" si="0"/>
        <v>93.</v>
      </c>
      <c r="C105" s="205" t="s">
        <v>606</v>
      </c>
      <c r="D105" s="162"/>
      <c r="E105" s="163"/>
      <c r="F105" s="159"/>
      <c r="G105" s="164"/>
      <c r="H105" s="204" t="s">
        <v>664</v>
      </c>
      <c r="I105" s="207" t="s">
        <v>723</v>
      </c>
      <c r="J105" s="208">
        <v>800000</v>
      </c>
      <c r="K105" s="206" t="s">
        <v>408</v>
      </c>
      <c r="L105" s="204" t="s">
        <v>833</v>
      </c>
      <c r="N105" s="141">
        <f t="shared" si="2"/>
        <v>93</v>
      </c>
    </row>
    <row r="106" spans="1:14" ht="30">
      <c r="A106" s="159"/>
      <c r="B106" s="143" t="str">
        <f t="shared" si="0"/>
        <v>94.</v>
      </c>
      <c r="C106" s="205" t="s">
        <v>597</v>
      </c>
      <c r="D106" s="162"/>
      <c r="E106" s="163"/>
      <c r="F106" s="545" t="s">
        <v>1752</v>
      </c>
      <c r="G106" s="164">
        <v>45289</v>
      </c>
      <c r="H106" s="204" t="s">
        <v>654</v>
      </c>
      <c r="I106" s="207" t="s">
        <v>724</v>
      </c>
      <c r="J106" s="208">
        <v>7900000</v>
      </c>
      <c r="K106" s="206" t="s">
        <v>408</v>
      </c>
      <c r="L106" s="204" t="s">
        <v>834</v>
      </c>
      <c r="N106" s="141">
        <f t="shared" si="2"/>
        <v>94</v>
      </c>
    </row>
    <row r="107" spans="1:14" ht="30">
      <c r="A107" s="159"/>
      <c r="B107" s="143" t="str">
        <f t="shared" si="0"/>
        <v>95.</v>
      </c>
      <c r="C107" s="205" t="s">
        <v>597</v>
      </c>
      <c r="D107" s="162"/>
      <c r="E107" s="163"/>
      <c r="F107" s="545" t="s">
        <v>1752</v>
      </c>
      <c r="G107" s="164">
        <v>45289</v>
      </c>
      <c r="H107" s="204" t="s">
        <v>654</v>
      </c>
      <c r="I107" s="207" t="s">
        <v>724</v>
      </c>
      <c r="J107" s="208">
        <v>7900000</v>
      </c>
      <c r="K107" s="206" t="s">
        <v>408</v>
      </c>
      <c r="L107" s="204" t="s">
        <v>834</v>
      </c>
      <c r="N107" s="141">
        <f t="shared" si="2"/>
        <v>95</v>
      </c>
    </row>
    <row r="108" spans="1:14" ht="30">
      <c r="A108" s="159"/>
      <c r="B108" s="143" t="str">
        <f t="shared" si="0"/>
        <v>96.</v>
      </c>
      <c r="C108" s="205" t="s">
        <v>597</v>
      </c>
      <c r="D108" s="162"/>
      <c r="E108" s="163"/>
      <c r="F108" s="545" t="s">
        <v>1752</v>
      </c>
      <c r="G108" s="164">
        <v>45289</v>
      </c>
      <c r="H108" s="204" t="s">
        <v>654</v>
      </c>
      <c r="I108" s="207" t="s">
        <v>724</v>
      </c>
      <c r="J108" s="208">
        <v>7900000</v>
      </c>
      <c r="K108" s="206" t="s">
        <v>408</v>
      </c>
      <c r="L108" s="204" t="s">
        <v>834</v>
      </c>
      <c r="N108" s="141">
        <f t="shared" si="2"/>
        <v>96</v>
      </c>
    </row>
    <row r="109" spans="1:14" ht="30">
      <c r="A109" s="159"/>
      <c r="B109" s="143" t="str">
        <f t="shared" si="0"/>
        <v>97.</v>
      </c>
      <c r="C109" s="205" t="s">
        <v>597</v>
      </c>
      <c r="D109" s="162"/>
      <c r="E109" s="163"/>
      <c r="F109" s="545" t="s">
        <v>1752</v>
      </c>
      <c r="G109" s="164">
        <v>45289</v>
      </c>
      <c r="H109" s="204" t="s">
        <v>654</v>
      </c>
      <c r="I109" s="207" t="s">
        <v>724</v>
      </c>
      <c r="J109" s="208">
        <v>7900000</v>
      </c>
      <c r="K109" s="206" t="s">
        <v>408</v>
      </c>
      <c r="L109" s="204" t="s">
        <v>834</v>
      </c>
      <c r="N109" s="141">
        <f t="shared" si="2"/>
        <v>97</v>
      </c>
    </row>
    <row r="110" spans="1:14" ht="30">
      <c r="A110" s="159"/>
      <c r="B110" s="143" t="str">
        <f t="shared" si="0"/>
        <v>98.</v>
      </c>
      <c r="C110" s="205" t="s">
        <v>597</v>
      </c>
      <c r="D110" s="162"/>
      <c r="E110" s="163"/>
      <c r="F110" s="545" t="s">
        <v>1752</v>
      </c>
      <c r="G110" s="164">
        <v>45289</v>
      </c>
      <c r="H110" s="204" t="s">
        <v>654</v>
      </c>
      <c r="I110" s="207" t="s">
        <v>724</v>
      </c>
      <c r="J110" s="208">
        <v>7900000</v>
      </c>
      <c r="K110" s="206" t="s">
        <v>408</v>
      </c>
      <c r="L110" s="204" t="s">
        <v>834</v>
      </c>
      <c r="N110" s="141">
        <f t="shared" si="2"/>
        <v>98</v>
      </c>
    </row>
    <row r="111" spans="1:14" ht="30">
      <c r="A111" s="159"/>
      <c r="B111" s="143" t="str">
        <f t="shared" si="0"/>
        <v>99.</v>
      </c>
      <c r="C111" s="205" t="s">
        <v>597</v>
      </c>
      <c r="D111" s="162"/>
      <c r="E111" s="163"/>
      <c r="F111" s="545" t="s">
        <v>1752</v>
      </c>
      <c r="G111" s="164">
        <v>45289</v>
      </c>
      <c r="H111" s="204" t="s">
        <v>654</v>
      </c>
      <c r="I111" s="207" t="s">
        <v>724</v>
      </c>
      <c r="J111" s="208">
        <v>7900000</v>
      </c>
      <c r="K111" s="206" t="s">
        <v>408</v>
      </c>
      <c r="L111" s="204" t="s">
        <v>834</v>
      </c>
      <c r="N111" s="141">
        <f t="shared" si="2"/>
        <v>99</v>
      </c>
    </row>
    <row r="112" spans="1:14" ht="15">
      <c r="A112" s="159"/>
      <c r="B112" s="143" t="str">
        <f t="shared" si="0"/>
        <v>100.</v>
      </c>
      <c r="C112" s="205" t="s">
        <v>607</v>
      </c>
      <c r="D112" s="162"/>
      <c r="E112" s="163"/>
      <c r="F112" s="159"/>
      <c r="G112" s="164"/>
      <c r="H112" s="204" t="s">
        <v>665</v>
      </c>
      <c r="I112" s="207">
        <v>45442</v>
      </c>
      <c r="J112" s="208">
        <v>880000</v>
      </c>
      <c r="K112" s="206" t="s">
        <v>408</v>
      </c>
      <c r="L112" s="204" t="s">
        <v>835</v>
      </c>
      <c r="N112" s="141">
        <f t="shared" si="2"/>
        <v>100</v>
      </c>
    </row>
    <row r="113" spans="1:14" ht="15">
      <c r="A113" s="159"/>
      <c r="B113" s="143" t="str">
        <f t="shared" si="0"/>
        <v>101.</v>
      </c>
      <c r="C113" s="205" t="s">
        <v>608</v>
      </c>
      <c r="D113" s="162"/>
      <c r="E113" s="163"/>
      <c r="F113" s="159"/>
      <c r="G113" s="164"/>
      <c r="H113" s="204" t="s">
        <v>666</v>
      </c>
      <c r="I113" s="207">
        <v>45442</v>
      </c>
      <c r="J113" s="208">
        <v>4000000</v>
      </c>
      <c r="K113" s="206" t="s">
        <v>408</v>
      </c>
      <c r="L113" s="204" t="s">
        <v>836</v>
      </c>
      <c r="N113" s="141">
        <f t="shared" si="2"/>
        <v>101</v>
      </c>
    </row>
    <row r="114" spans="1:14" ht="15">
      <c r="A114" s="159"/>
      <c r="B114" s="143" t="str">
        <f t="shared" si="0"/>
        <v>102.</v>
      </c>
      <c r="C114" s="205" t="s">
        <v>609</v>
      </c>
      <c r="D114" s="162"/>
      <c r="E114" s="163"/>
      <c r="F114" s="159"/>
      <c r="G114" s="164"/>
      <c r="H114" s="204" t="s">
        <v>667</v>
      </c>
      <c r="I114" s="207">
        <v>45442</v>
      </c>
      <c r="J114" s="208">
        <v>1100000</v>
      </c>
      <c r="K114" s="206" t="s">
        <v>408</v>
      </c>
      <c r="L114" s="204" t="s">
        <v>837</v>
      </c>
      <c r="N114" s="141">
        <f t="shared" si="2"/>
        <v>102</v>
      </c>
    </row>
    <row r="115" spans="1:14" ht="30">
      <c r="A115" s="159"/>
      <c r="B115" s="143" t="str">
        <f t="shared" si="0"/>
        <v>103.</v>
      </c>
      <c r="C115" s="205" t="s">
        <v>591</v>
      </c>
      <c r="D115" s="162"/>
      <c r="E115" s="163"/>
      <c r="F115" s="551" t="s">
        <v>1776</v>
      </c>
      <c r="G115" s="552">
        <v>45442</v>
      </c>
      <c r="H115" s="204" t="s">
        <v>648</v>
      </c>
      <c r="I115" s="207">
        <v>45442</v>
      </c>
      <c r="J115" s="208">
        <v>6150000</v>
      </c>
      <c r="K115" s="206" t="s">
        <v>408</v>
      </c>
      <c r="L115" s="204" t="s">
        <v>838</v>
      </c>
      <c r="N115" s="141">
        <f t="shared" si="2"/>
        <v>103</v>
      </c>
    </row>
    <row r="116" spans="1:14" ht="30">
      <c r="A116" s="159"/>
      <c r="B116" s="143" t="str">
        <f t="shared" si="0"/>
        <v>104.</v>
      </c>
      <c r="C116" s="205" t="s">
        <v>592</v>
      </c>
      <c r="D116" s="162"/>
      <c r="E116" s="163"/>
      <c r="F116" s="551" t="s">
        <v>1776</v>
      </c>
      <c r="G116" s="552">
        <v>45442</v>
      </c>
      <c r="H116" s="204" t="s">
        <v>649</v>
      </c>
      <c r="I116" s="207">
        <v>45442</v>
      </c>
      <c r="J116" s="208">
        <v>4050000</v>
      </c>
      <c r="K116" s="206" t="s">
        <v>408</v>
      </c>
      <c r="L116" s="204" t="s">
        <v>839</v>
      </c>
      <c r="N116" s="141">
        <f t="shared" si="2"/>
        <v>104</v>
      </c>
    </row>
    <row r="117" spans="1:14" ht="30">
      <c r="A117" s="159"/>
      <c r="B117" s="143" t="str">
        <f t="shared" si="0"/>
        <v>105.</v>
      </c>
      <c r="C117" s="205" t="s">
        <v>605</v>
      </c>
      <c r="D117" s="162"/>
      <c r="E117" s="163"/>
      <c r="F117" s="551" t="s">
        <v>1776</v>
      </c>
      <c r="G117" s="552">
        <v>45442</v>
      </c>
      <c r="H117" s="204" t="s">
        <v>668</v>
      </c>
      <c r="I117" s="207">
        <v>45442</v>
      </c>
      <c r="J117" s="208">
        <v>1600000</v>
      </c>
      <c r="K117" s="206" t="s">
        <v>408</v>
      </c>
      <c r="L117" s="204" t="s">
        <v>840</v>
      </c>
      <c r="N117" s="141">
        <f t="shared" si="2"/>
        <v>105</v>
      </c>
    </row>
    <row r="118" spans="1:14" ht="30">
      <c r="A118" s="159"/>
      <c r="B118" s="143" t="str">
        <f t="shared" si="0"/>
        <v>106.</v>
      </c>
      <c r="C118" s="205" t="s">
        <v>587</v>
      </c>
      <c r="D118" s="162"/>
      <c r="E118" s="163"/>
      <c r="F118" s="551" t="s">
        <v>1776</v>
      </c>
      <c r="G118" s="552">
        <v>45442</v>
      </c>
      <c r="H118" s="204" t="s">
        <v>643</v>
      </c>
      <c r="I118" s="207">
        <v>45442</v>
      </c>
      <c r="J118" s="208">
        <v>2200000</v>
      </c>
      <c r="K118" s="206" t="s">
        <v>408</v>
      </c>
      <c r="L118" s="204" t="s">
        <v>841</v>
      </c>
      <c r="N118" s="141">
        <f t="shared" si="2"/>
        <v>106</v>
      </c>
    </row>
    <row r="119" spans="1:14" ht="30">
      <c r="A119" s="159"/>
      <c r="B119" s="143" t="str">
        <f t="shared" si="0"/>
        <v>107.</v>
      </c>
      <c r="C119" s="205" t="s">
        <v>593</v>
      </c>
      <c r="D119" s="162"/>
      <c r="E119" s="163"/>
      <c r="F119" s="551" t="s">
        <v>1776</v>
      </c>
      <c r="G119" s="552">
        <v>45442</v>
      </c>
      <c r="H119" s="204" t="s">
        <v>650</v>
      </c>
      <c r="I119" s="207">
        <v>45442</v>
      </c>
      <c r="J119" s="208">
        <v>850000</v>
      </c>
      <c r="K119" s="206" t="s">
        <v>408</v>
      </c>
      <c r="L119" s="204" t="s">
        <v>842</v>
      </c>
      <c r="N119" s="141">
        <f t="shared" si="2"/>
        <v>107</v>
      </c>
    </row>
    <row r="120" spans="1:14" ht="15">
      <c r="A120" s="159"/>
      <c r="B120" s="143" t="str">
        <f t="shared" si="0"/>
        <v>108.</v>
      </c>
      <c r="C120" s="205" t="s">
        <v>580</v>
      </c>
      <c r="D120" s="162"/>
      <c r="E120" s="163"/>
      <c r="F120" s="159"/>
      <c r="G120" s="164"/>
      <c r="H120" s="204" t="s">
        <v>636</v>
      </c>
      <c r="I120" s="207">
        <v>45442</v>
      </c>
      <c r="J120" s="208">
        <v>12800000</v>
      </c>
      <c r="K120" s="206" t="s">
        <v>408</v>
      </c>
      <c r="L120" s="204" t="s">
        <v>829</v>
      </c>
      <c r="N120" s="141">
        <f t="shared" si="2"/>
        <v>108</v>
      </c>
    </row>
    <row r="121" spans="1:14" ht="15">
      <c r="A121" s="159"/>
      <c r="B121" s="143" t="str">
        <f t="shared" si="0"/>
        <v>109.</v>
      </c>
      <c r="C121" s="205" t="s">
        <v>610</v>
      </c>
      <c r="D121" s="162"/>
      <c r="E121" s="163"/>
      <c r="F121" s="159"/>
      <c r="G121" s="164"/>
      <c r="H121" s="204" t="s">
        <v>669</v>
      </c>
      <c r="I121" s="207">
        <v>45442</v>
      </c>
      <c r="J121" s="208">
        <v>1365000</v>
      </c>
      <c r="K121" s="206" t="s">
        <v>408</v>
      </c>
      <c r="L121" s="204" t="s">
        <v>843</v>
      </c>
      <c r="N121" s="141">
        <f t="shared" si="2"/>
        <v>109</v>
      </c>
    </row>
    <row r="122" spans="1:14" ht="15">
      <c r="A122" s="159"/>
      <c r="B122" s="143" t="str">
        <f t="shared" si="0"/>
        <v>110.</v>
      </c>
      <c r="C122" s="205" t="s">
        <v>576</v>
      </c>
      <c r="D122" s="162"/>
      <c r="E122" s="163"/>
      <c r="F122" s="159"/>
      <c r="G122" s="164"/>
      <c r="H122" s="204" t="s">
        <v>632</v>
      </c>
      <c r="I122" s="207">
        <v>45442</v>
      </c>
      <c r="J122" s="208">
        <v>675000</v>
      </c>
      <c r="K122" s="206" t="s">
        <v>408</v>
      </c>
      <c r="L122" s="204" t="s">
        <v>844</v>
      </c>
      <c r="N122" s="141">
        <f t="shared" si="2"/>
        <v>110</v>
      </c>
    </row>
    <row r="123" spans="1:14" ht="15">
      <c r="A123" s="159"/>
      <c r="B123" s="143" t="str">
        <f t="shared" si="0"/>
        <v>111.</v>
      </c>
      <c r="C123" s="205" t="s">
        <v>605</v>
      </c>
      <c r="D123" s="162"/>
      <c r="E123" s="163"/>
      <c r="F123" s="159"/>
      <c r="G123" s="164"/>
      <c r="H123" s="204" t="s">
        <v>663</v>
      </c>
      <c r="I123" s="207">
        <v>45442</v>
      </c>
      <c r="J123" s="208">
        <v>1200000</v>
      </c>
      <c r="K123" s="206" t="s">
        <v>408</v>
      </c>
      <c r="L123" s="204" t="s">
        <v>845</v>
      </c>
      <c r="N123" s="141">
        <f t="shared" si="2"/>
        <v>111</v>
      </c>
    </row>
    <row r="124" spans="1:14" ht="15">
      <c r="A124" s="159"/>
      <c r="B124" s="143" t="str">
        <f t="shared" si="0"/>
        <v>112.</v>
      </c>
      <c r="C124" s="205" t="s">
        <v>582</v>
      </c>
      <c r="D124" s="162"/>
      <c r="E124" s="163"/>
      <c r="F124" s="159"/>
      <c r="G124" s="164"/>
      <c r="H124" s="204" t="s">
        <v>638</v>
      </c>
      <c r="I124" s="207">
        <v>45442</v>
      </c>
      <c r="J124" s="208">
        <v>1500000</v>
      </c>
      <c r="K124" s="206" t="s">
        <v>408</v>
      </c>
      <c r="L124" s="204" t="s">
        <v>846</v>
      </c>
      <c r="N124" s="141">
        <f t="shared" si="2"/>
        <v>112</v>
      </c>
    </row>
    <row r="125" spans="1:14" ht="15">
      <c r="A125" s="159"/>
      <c r="B125" s="143" t="str">
        <f t="shared" si="0"/>
        <v>113.</v>
      </c>
      <c r="C125" s="205" t="s">
        <v>578</v>
      </c>
      <c r="D125" s="162"/>
      <c r="E125" s="163"/>
      <c r="F125" s="159"/>
      <c r="G125" s="164"/>
      <c r="H125" s="204" t="s">
        <v>634</v>
      </c>
      <c r="I125" s="207">
        <v>45442</v>
      </c>
      <c r="J125" s="208">
        <v>1900000</v>
      </c>
      <c r="K125" s="206" t="s">
        <v>408</v>
      </c>
      <c r="L125" s="204" t="s">
        <v>847</v>
      </c>
      <c r="N125" s="141">
        <f t="shared" si="2"/>
        <v>113</v>
      </c>
    </row>
    <row r="126" spans="1:14" ht="15">
      <c r="A126" s="159"/>
      <c r="B126" s="143" t="str">
        <f t="shared" si="0"/>
        <v>114.</v>
      </c>
      <c r="C126" s="205" t="s">
        <v>611</v>
      </c>
      <c r="D126" s="162"/>
      <c r="E126" s="163"/>
      <c r="F126" s="159"/>
      <c r="G126" s="164"/>
      <c r="H126" s="204" t="s">
        <v>670</v>
      </c>
      <c r="I126" s="207">
        <v>45447</v>
      </c>
      <c r="J126" s="208">
        <v>950000</v>
      </c>
      <c r="K126" s="206" t="s">
        <v>408</v>
      </c>
      <c r="L126" s="204" t="s">
        <v>848</v>
      </c>
      <c r="N126" s="141">
        <f t="shared" si="2"/>
        <v>114</v>
      </c>
    </row>
    <row r="127" spans="1:14" ht="15">
      <c r="A127" s="159"/>
      <c r="B127" s="143" t="str">
        <f t="shared" si="0"/>
        <v>115.</v>
      </c>
      <c r="C127" s="205" t="s">
        <v>612</v>
      </c>
      <c r="D127" s="162"/>
      <c r="E127" s="163"/>
      <c r="F127" s="159"/>
      <c r="G127" s="164"/>
      <c r="H127" s="204" t="s">
        <v>671</v>
      </c>
      <c r="I127" s="207">
        <v>45447</v>
      </c>
      <c r="J127" s="208">
        <v>265000</v>
      </c>
      <c r="K127" s="206" t="s">
        <v>408</v>
      </c>
      <c r="L127" s="204" t="s">
        <v>849</v>
      </c>
      <c r="N127" s="141">
        <f t="shared" si="2"/>
        <v>115</v>
      </c>
    </row>
    <row r="128" spans="1:14" ht="30">
      <c r="A128" s="159"/>
      <c r="B128" s="143" t="str">
        <f t="shared" si="0"/>
        <v>116.</v>
      </c>
      <c r="C128" s="205" t="s">
        <v>587</v>
      </c>
      <c r="D128" s="162"/>
      <c r="E128" s="163"/>
      <c r="F128" s="551" t="s">
        <v>1777</v>
      </c>
      <c r="G128" s="552">
        <v>45478</v>
      </c>
      <c r="H128" s="204" t="s">
        <v>643</v>
      </c>
      <c r="I128" s="207">
        <v>45478</v>
      </c>
      <c r="J128" s="208">
        <v>3950000</v>
      </c>
      <c r="K128" s="206" t="s">
        <v>408</v>
      </c>
      <c r="L128" s="204" t="s">
        <v>850</v>
      </c>
      <c r="N128" s="141">
        <f t="shared" si="2"/>
        <v>116</v>
      </c>
    </row>
    <row r="129" spans="1:14" ht="48" customHeight="1">
      <c r="A129" s="159"/>
      <c r="B129" s="143" t="str">
        <f t="shared" si="0"/>
        <v>117.</v>
      </c>
      <c r="C129" s="205" t="s">
        <v>606</v>
      </c>
      <c r="D129" s="162"/>
      <c r="E129" s="163"/>
      <c r="F129" s="545" t="s">
        <v>1753</v>
      </c>
      <c r="G129" s="164"/>
      <c r="H129" s="204" t="s">
        <v>664</v>
      </c>
      <c r="I129" s="207">
        <v>45555</v>
      </c>
      <c r="J129" s="208">
        <v>1298000</v>
      </c>
      <c r="K129" s="206" t="s">
        <v>408</v>
      </c>
      <c r="L129" s="204" t="s">
        <v>851</v>
      </c>
      <c r="N129" s="141">
        <f t="shared" si="2"/>
        <v>117</v>
      </c>
    </row>
    <row r="130" spans="1:14" ht="30">
      <c r="A130" s="159"/>
      <c r="B130" s="143" t="str">
        <f t="shared" si="0"/>
        <v>118.</v>
      </c>
      <c r="C130" s="205" t="s">
        <v>584</v>
      </c>
      <c r="D130" s="162"/>
      <c r="E130" s="163"/>
      <c r="F130" s="551" t="s">
        <v>1778</v>
      </c>
      <c r="G130" s="552">
        <v>45618</v>
      </c>
      <c r="H130" s="204" t="s">
        <v>640</v>
      </c>
      <c r="I130" s="207">
        <v>45618</v>
      </c>
      <c r="J130" s="208">
        <v>11700000</v>
      </c>
      <c r="K130" s="206" t="s">
        <v>408</v>
      </c>
      <c r="L130" s="204" t="s">
        <v>852</v>
      </c>
      <c r="N130" s="141">
        <f t="shared" si="2"/>
        <v>118</v>
      </c>
    </row>
    <row r="131" spans="1:14" ht="15">
      <c r="A131" s="159"/>
      <c r="B131" s="143" t="str">
        <f t="shared" si="0"/>
        <v>119.</v>
      </c>
      <c r="C131" s="205" t="s">
        <v>601</v>
      </c>
      <c r="D131" s="162"/>
      <c r="E131" s="163"/>
      <c r="F131" s="159"/>
      <c r="G131" s="164"/>
      <c r="H131" s="204" t="s">
        <v>658</v>
      </c>
      <c r="I131" s="207">
        <v>45618</v>
      </c>
      <c r="J131" s="208">
        <v>2150000</v>
      </c>
      <c r="K131" s="206" t="s">
        <v>408</v>
      </c>
      <c r="L131" s="204" t="s">
        <v>853</v>
      </c>
      <c r="N131" s="141">
        <f t="shared" si="2"/>
        <v>119</v>
      </c>
    </row>
    <row r="132" spans="1:14" ht="15">
      <c r="A132" s="159"/>
      <c r="B132" s="143" t="str">
        <f t="shared" si="0"/>
        <v>120.</v>
      </c>
      <c r="C132" s="205" t="s">
        <v>613</v>
      </c>
      <c r="D132" s="162"/>
      <c r="E132" s="163"/>
      <c r="F132" s="159"/>
      <c r="G132" s="164"/>
      <c r="H132" s="204" t="s">
        <v>672</v>
      </c>
      <c r="I132" s="207">
        <v>45618</v>
      </c>
      <c r="J132" s="208">
        <v>2250000</v>
      </c>
      <c r="K132" s="206" t="s">
        <v>408</v>
      </c>
      <c r="L132" s="204" t="s">
        <v>854</v>
      </c>
      <c r="N132" s="141">
        <f t="shared" si="2"/>
        <v>120</v>
      </c>
    </row>
    <row r="133" spans="1:14" ht="15">
      <c r="A133" s="159"/>
      <c r="B133" s="143" t="str">
        <f t="shared" si="0"/>
        <v>121.</v>
      </c>
      <c r="C133" s="205" t="s">
        <v>409</v>
      </c>
      <c r="D133" s="162"/>
      <c r="E133" s="163"/>
      <c r="F133" s="159"/>
      <c r="G133" s="164"/>
      <c r="H133" s="204" t="s">
        <v>673</v>
      </c>
      <c r="I133" s="207">
        <v>45618</v>
      </c>
      <c r="J133" s="208">
        <v>2150000</v>
      </c>
      <c r="K133" s="206" t="s">
        <v>408</v>
      </c>
      <c r="L133" s="204" t="s">
        <v>855</v>
      </c>
      <c r="N133" s="141">
        <f t="shared" si="2"/>
        <v>121</v>
      </c>
    </row>
    <row r="134" spans="1:14" ht="15">
      <c r="A134" s="159"/>
      <c r="B134" s="143" t="str">
        <f t="shared" si="0"/>
        <v>122.</v>
      </c>
      <c r="C134" s="205" t="s">
        <v>409</v>
      </c>
      <c r="D134" s="162"/>
      <c r="E134" s="163"/>
      <c r="F134" s="159"/>
      <c r="G134" s="164"/>
      <c r="H134" s="204" t="s">
        <v>673</v>
      </c>
      <c r="I134" s="207">
        <v>45618</v>
      </c>
      <c r="J134" s="208">
        <v>2250000</v>
      </c>
      <c r="K134" s="206" t="s">
        <v>408</v>
      </c>
      <c r="L134" s="204" t="s">
        <v>856</v>
      </c>
      <c r="N134" s="141">
        <f t="shared" si="2"/>
        <v>122</v>
      </c>
    </row>
    <row r="135" spans="1:14" ht="15">
      <c r="A135" s="159"/>
      <c r="B135" s="143" t="str">
        <f t="shared" si="0"/>
        <v>123.</v>
      </c>
      <c r="C135" s="205" t="s">
        <v>614</v>
      </c>
      <c r="D135" s="162"/>
      <c r="E135" s="163"/>
      <c r="F135" s="159"/>
      <c r="G135" s="164"/>
      <c r="H135" s="204" t="s">
        <v>674</v>
      </c>
      <c r="I135" s="207">
        <v>45618</v>
      </c>
      <c r="J135" s="208">
        <v>450000</v>
      </c>
      <c r="K135" s="206" t="s">
        <v>408</v>
      </c>
      <c r="L135" s="204"/>
      <c r="N135" s="141">
        <f t="shared" si="2"/>
        <v>123</v>
      </c>
    </row>
    <row r="136" spans="1:14" ht="15">
      <c r="A136" s="159"/>
      <c r="B136" s="143" t="str">
        <f t="shared" si="0"/>
        <v>124.</v>
      </c>
      <c r="C136" s="205" t="s">
        <v>615</v>
      </c>
      <c r="D136" s="162"/>
      <c r="E136" s="163"/>
      <c r="F136" s="159"/>
      <c r="G136" s="164"/>
      <c r="H136" s="204" t="s">
        <v>675</v>
      </c>
      <c r="I136" s="207">
        <v>45618</v>
      </c>
      <c r="J136" s="208">
        <v>450000</v>
      </c>
      <c r="K136" s="206" t="s">
        <v>408</v>
      </c>
      <c r="L136" s="204"/>
      <c r="N136" s="141">
        <f t="shared" si="2"/>
        <v>124</v>
      </c>
    </row>
    <row r="137" spans="1:14" ht="30">
      <c r="A137" s="159"/>
      <c r="B137" s="143" t="str">
        <f t="shared" si="0"/>
        <v>125.</v>
      </c>
      <c r="C137" s="205" t="s">
        <v>584</v>
      </c>
      <c r="D137" s="162"/>
      <c r="E137" s="163"/>
      <c r="F137" s="551" t="s">
        <v>1779</v>
      </c>
      <c r="G137" s="552">
        <v>45638</v>
      </c>
      <c r="H137" s="204" t="s">
        <v>640</v>
      </c>
      <c r="I137" s="207">
        <v>45638</v>
      </c>
      <c r="J137" s="208">
        <v>28000000</v>
      </c>
      <c r="K137" s="206" t="s">
        <v>408</v>
      </c>
      <c r="L137" s="204" t="s">
        <v>857</v>
      </c>
      <c r="N137" s="141">
        <f t="shared" si="2"/>
        <v>125</v>
      </c>
    </row>
    <row r="138" spans="1:14" ht="15">
      <c r="A138" s="159"/>
      <c r="B138" s="143" t="str">
        <f t="shared" si="0"/>
        <v>126.</v>
      </c>
      <c r="C138" s="205" t="s">
        <v>616</v>
      </c>
      <c r="D138" s="162"/>
      <c r="E138" s="163"/>
      <c r="F138" s="159"/>
      <c r="G138" s="164"/>
      <c r="H138" s="204" t="s">
        <v>676</v>
      </c>
      <c r="I138" s="207">
        <v>45646</v>
      </c>
      <c r="J138" s="208">
        <v>320000</v>
      </c>
      <c r="K138" s="206" t="s">
        <v>408</v>
      </c>
      <c r="L138" s="204" t="s">
        <v>858</v>
      </c>
      <c r="N138" s="141">
        <f t="shared" si="2"/>
        <v>126</v>
      </c>
    </row>
    <row r="139" spans="1:14" ht="15">
      <c r="A139" s="159"/>
      <c r="B139" s="143" t="str">
        <f t="shared" si="0"/>
        <v>127.</v>
      </c>
      <c r="C139" s="205" t="s">
        <v>617</v>
      </c>
      <c r="D139" s="162"/>
      <c r="E139" s="163"/>
      <c r="F139" s="159"/>
      <c r="G139" s="164"/>
      <c r="H139" s="204" t="s">
        <v>677</v>
      </c>
      <c r="I139" s="207">
        <v>45646</v>
      </c>
      <c r="J139" s="208">
        <v>310000</v>
      </c>
      <c r="K139" s="206" t="s">
        <v>408</v>
      </c>
      <c r="L139" s="204" t="s">
        <v>859</v>
      </c>
      <c r="N139" s="141">
        <f t="shared" si="2"/>
        <v>127</v>
      </c>
    </row>
    <row r="140" spans="1:14" ht="15">
      <c r="A140" s="159"/>
      <c r="B140" s="143" t="str">
        <f t="shared" si="0"/>
        <v>128.</v>
      </c>
      <c r="C140" s="205" t="s">
        <v>618</v>
      </c>
      <c r="D140" s="162"/>
      <c r="E140" s="163"/>
      <c r="F140" s="159"/>
      <c r="G140" s="164"/>
      <c r="H140" s="204" t="s">
        <v>678</v>
      </c>
      <c r="I140" s="207">
        <v>45646</v>
      </c>
      <c r="J140" s="208">
        <v>3350000</v>
      </c>
      <c r="K140" s="206" t="s">
        <v>408</v>
      </c>
      <c r="L140" s="204" t="s">
        <v>860</v>
      </c>
      <c r="N140" s="141">
        <f t="shared" si="2"/>
        <v>128</v>
      </c>
    </row>
    <row r="141" spans="1:14" ht="15">
      <c r="A141" s="159"/>
      <c r="B141" s="143" t="str">
        <f t="shared" si="0"/>
        <v>129.</v>
      </c>
      <c r="C141" s="205" t="s">
        <v>619</v>
      </c>
      <c r="D141" s="162"/>
      <c r="E141" s="163"/>
      <c r="F141" s="159"/>
      <c r="G141" s="164"/>
      <c r="H141" s="204" t="s">
        <v>679</v>
      </c>
      <c r="I141" s="207">
        <v>45646</v>
      </c>
      <c r="J141" s="208">
        <v>540000</v>
      </c>
      <c r="K141" s="206" t="s">
        <v>408</v>
      </c>
      <c r="L141" s="204" t="s">
        <v>861</v>
      </c>
      <c r="N141" s="141">
        <f t="shared" si="2"/>
        <v>129</v>
      </c>
    </row>
    <row r="142" spans="1:14" ht="15">
      <c r="A142" s="159"/>
      <c r="B142" s="143" t="str">
        <f t="shared" si="0"/>
        <v>130.</v>
      </c>
      <c r="C142" s="205" t="s">
        <v>619</v>
      </c>
      <c r="D142" s="162"/>
      <c r="E142" s="163"/>
      <c r="F142" s="159"/>
      <c r="G142" s="164"/>
      <c r="H142" s="204" t="s">
        <v>679</v>
      </c>
      <c r="I142" s="207">
        <v>45646</v>
      </c>
      <c r="J142" s="208">
        <v>600000</v>
      </c>
      <c r="K142" s="206" t="s">
        <v>408</v>
      </c>
      <c r="L142" s="204" t="s">
        <v>862</v>
      </c>
      <c r="N142" s="141">
        <f t="shared" si="2"/>
        <v>130</v>
      </c>
    </row>
    <row r="143" spans="1:14" ht="15">
      <c r="A143" s="159"/>
      <c r="B143" s="143" t="str">
        <f t="shared" si="0"/>
        <v>131.</v>
      </c>
      <c r="C143" s="205" t="s">
        <v>619</v>
      </c>
      <c r="D143" s="162"/>
      <c r="E143" s="163"/>
      <c r="F143" s="159"/>
      <c r="G143" s="164"/>
      <c r="H143" s="204" t="s">
        <v>679</v>
      </c>
      <c r="I143" s="207">
        <v>45646</v>
      </c>
      <c r="J143" s="208">
        <v>660000</v>
      </c>
      <c r="K143" s="206" t="s">
        <v>408</v>
      </c>
      <c r="L143" s="204" t="s">
        <v>863</v>
      </c>
      <c r="N143" s="141">
        <f t="shared" ref="N143:N158" si="3">N142+1</f>
        <v>131</v>
      </c>
    </row>
    <row r="144" spans="1:14" ht="15">
      <c r="A144" s="159"/>
      <c r="B144" s="143" t="str">
        <f t="shared" si="0"/>
        <v>132.</v>
      </c>
      <c r="C144" s="205" t="s">
        <v>620</v>
      </c>
      <c r="D144" s="162"/>
      <c r="E144" s="163"/>
      <c r="F144" s="159"/>
      <c r="G144" s="164"/>
      <c r="H144" s="204" t="s">
        <v>680</v>
      </c>
      <c r="I144" s="207">
        <v>45646</v>
      </c>
      <c r="J144" s="208">
        <v>150000</v>
      </c>
      <c r="K144" s="206" t="s">
        <v>408</v>
      </c>
      <c r="L144" s="204" t="s">
        <v>864</v>
      </c>
      <c r="N144" s="141">
        <f t="shared" si="3"/>
        <v>132</v>
      </c>
    </row>
    <row r="145" spans="1:14" ht="15">
      <c r="A145" s="159"/>
      <c r="B145" s="143" t="str">
        <f t="shared" si="0"/>
        <v>133.</v>
      </c>
      <c r="C145" s="205" t="s">
        <v>621</v>
      </c>
      <c r="D145" s="162"/>
      <c r="E145" s="163"/>
      <c r="F145" s="159"/>
      <c r="G145" s="164"/>
      <c r="H145" s="204" t="s">
        <v>681</v>
      </c>
      <c r="I145" s="207">
        <v>45646</v>
      </c>
      <c r="J145" s="208">
        <v>2585000</v>
      </c>
      <c r="K145" s="206" t="s">
        <v>408</v>
      </c>
      <c r="L145" s="204" t="s">
        <v>865</v>
      </c>
      <c r="N145" s="141">
        <f t="shared" si="3"/>
        <v>133</v>
      </c>
    </row>
    <row r="146" spans="1:14" ht="15">
      <c r="A146" s="159"/>
      <c r="B146" s="143" t="str">
        <f t="shared" si="0"/>
        <v>134.</v>
      </c>
      <c r="C146" s="205" t="s">
        <v>619</v>
      </c>
      <c r="D146" s="162"/>
      <c r="E146" s="163"/>
      <c r="F146" s="159"/>
      <c r="G146" s="164"/>
      <c r="H146" s="204" t="s">
        <v>679</v>
      </c>
      <c r="I146" s="207">
        <v>45646</v>
      </c>
      <c r="J146" s="208">
        <v>480000</v>
      </c>
      <c r="K146" s="206" t="s">
        <v>408</v>
      </c>
      <c r="L146" s="204" t="s">
        <v>866</v>
      </c>
      <c r="N146" s="141">
        <f t="shared" si="3"/>
        <v>134</v>
      </c>
    </row>
    <row r="147" spans="1:14" ht="15">
      <c r="A147" s="159"/>
      <c r="B147" s="143" t="str">
        <f t="shared" si="0"/>
        <v>135.</v>
      </c>
      <c r="C147" s="205" t="s">
        <v>622</v>
      </c>
      <c r="D147" s="162"/>
      <c r="E147" s="163"/>
      <c r="F147" s="159"/>
      <c r="G147" s="164"/>
      <c r="H147" s="204" t="s">
        <v>682</v>
      </c>
      <c r="I147" s="207">
        <v>45646</v>
      </c>
      <c r="J147" s="208">
        <v>740000</v>
      </c>
      <c r="K147" s="206" t="s">
        <v>408</v>
      </c>
      <c r="L147" s="204" t="s">
        <v>867</v>
      </c>
      <c r="N147" s="141">
        <f t="shared" si="3"/>
        <v>135</v>
      </c>
    </row>
    <row r="148" spans="1:14" ht="15">
      <c r="A148" s="159"/>
      <c r="B148" s="143" t="str">
        <f t="shared" si="0"/>
        <v>136.</v>
      </c>
      <c r="C148" s="205" t="s">
        <v>576</v>
      </c>
      <c r="D148" s="162"/>
      <c r="E148" s="163"/>
      <c r="F148" s="159"/>
      <c r="G148" s="164"/>
      <c r="H148" s="204" t="s">
        <v>632</v>
      </c>
      <c r="I148" s="207">
        <v>45646</v>
      </c>
      <c r="J148" s="208">
        <v>12000000</v>
      </c>
      <c r="K148" s="206" t="s">
        <v>408</v>
      </c>
      <c r="L148" s="204" t="s">
        <v>868</v>
      </c>
      <c r="N148" s="141">
        <f t="shared" si="3"/>
        <v>136</v>
      </c>
    </row>
    <row r="149" spans="1:14" ht="30">
      <c r="A149" s="159"/>
      <c r="B149" s="143" t="str">
        <f t="shared" si="0"/>
        <v>137.</v>
      </c>
      <c r="C149" s="205" t="s">
        <v>623</v>
      </c>
      <c r="D149" s="162"/>
      <c r="E149" s="163"/>
      <c r="F149" s="555" t="s">
        <v>1754</v>
      </c>
      <c r="G149" s="164"/>
      <c r="H149" s="204" t="s">
        <v>683</v>
      </c>
      <c r="I149" s="207">
        <v>45933</v>
      </c>
      <c r="J149" s="208">
        <v>1150000</v>
      </c>
      <c r="K149" s="206" t="s">
        <v>408</v>
      </c>
      <c r="L149" s="204" t="s">
        <v>869</v>
      </c>
      <c r="N149" s="141">
        <f t="shared" si="3"/>
        <v>137</v>
      </c>
    </row>
    <row r="150" spans="1:14" ht="30">
      <c r="A150" s="159"/>
      <c r="B150" s="143" t="str">
        <f t="shared" si="0"/>
        <v>138.</v>
      </c>
      <c r="C150" s="205" t="s">
        <v>624</v>
      </c>
      <c r="D150" s="162"/>
      <c r="E150" s="163"/>
      <c r="F150" s="555" t="s">
        <v>1755</v>
      </c>
      <c r="G150" s="164"/>
      <c r="H150" s="204" t="s">
        <v>684</v>
      </c>
      <c r="I150" s="207">
        <v>45933</v>
      </c>
      <c r="J150" s="208">
        <v>350000</v>
      </c>
      <c r="K150" s="206" t="s">
        <v>408</v>
      </c>
      <c r="L150" s="204" t="s">
        <v>829</v>
      </c>
      <c r="N150" s="141">
        <f t="shared" si="3"/>
        <v>138</v>
      </c>
    </row>
    <row r="151" spans="1:14" ht="30">
      <c r="A151" s="159"/>
      <c r="B151" s="143" t="str">
        <f t="shared" si="0"/>
        <v>139.</v>
      </c>
      <c r="C151" s="205" t="s">
        <v>625</v>
      </c>
      <c r="D151" s="162"/>
      <c r="E151" s="163"/>
      <c r="F151" s="555" t="s">
        <v>1756</v>
      </c>
      <c r="G151" s="164"/>
      <c r="H151" s="204" t="s">
        <v>685</v>
      </c>
      <c r="I151" s="207">
        <v>45989</v>
      </c>
      <c r="J151" s="208">
        <v>2150000</v>
      </c>
      <c r="K151" s="206" t="s">
        <v>408</v>
      </c>
      <c r="L151" s="204" t="s">
        <v>870</v>
      </c>
      <c r="N151" s="141">
        <f t="shared" si="3"/>
        <v>139</v>
      </c>
    </row>
    <row r="152" spans="1:14" ht="30">
      <c r="A152" s="159"/>
      <c r="B152" s="143" t="str">
        <f t="shared" si="0"/>
        <v>140.</v>
      </c>
      <c r="C152" s="205" t="s">
        <v>626</v>
      </c>
      <c r="D152" s="162"/>
      <c r="E152" s="163"/>
      <c r="F152" s="555" t="s">
        <v>1756</v>
      </c>
      <c r="G152" s="164"/>
      <c r="H152" s="204" t="s">
        <v>686</v>
      </c>
      <c r="I152" s="207">
        <v>45989</v>
      </c>
      <c r="J152" s="208">
        <v>900000</v>
      </c>
      <c r="K152" s="206" t="s">
        <v>408</v>
      </c>
      <c r="L152" s="204" t="s">
        <v>871</v>
      </c>
      <c r="N152" s="141">
        <f t="shared" si="3"/>
        <v>140</v>
      </c>
    </row>
    <row r="153" spans="1:14" ht="30">
      <c r="A153" s="159"/>
      <c r="B153" s="143" t="str">
        <f t="shared" si="0"/>
        <v>141.</v>
      </c>
      <c r="C153" s="205" t="s">
        <v>627</v>
      </c>
      <c r="D153" s="162"/>
      <c r="E153" s="163"/>
      <c r="F153" s="555" t="s">
        <v>1757</v>
      </c>
      <c r="G153" s="164"/>
      <c r="H153" s="204" t="s">
        <v>687</v>
      </c>
      <c r="I153" s="207">
        <v>45989</v>
      </c>
      <c r="J153" s="208">
        <v>4500000</v>
      </c>
      <c r="K153" s="206" t="s">
        <v>408</v>
      </c>
      <c r="L153" s="204" t="s">
        <v>872</v>
      </c>
      <c r="N153" s="141">
        <f t="shared" si="3"/>
        <v>141</v>
      </c>
    </row>
    <row r="154" spans="1:14" ht="30">
      <c r="A154" s="159"/>
      <c r="B154" s="143" t="str">
        <f t="shared" si="0"/>
        <v>142.</v>
      </c>
      <c r="C154" s="205" t="s">
        <v>628</v>
      </c>
      <c r="D154" s="162"/>
      <c r="E154" s="163"/>
      <c r="F154" s="555" t="s">
        <v>1757</v>
      </c>
      <c r="G154" s="164"/>
      <c r="H154" s="204" t="s">
        <v>688</v>
      </c>
      <c r="I154" s="207">
        <v>45989</v>
      </c>
      <c r="J154" s="208">
        <v>500000</v>
      </c>
      <c r="K154" s="206" t="s">
        <v>408</v>
      </c>
      <c r="L154" s="204" t="s">
        <v>872</v>
      </c>
      <c r="N154" s="141">
        <f t="shared" si="3"/>
        <v>142</v>
      </c>
    </row>
    <row r="155" spans="1:14" ht="30">
      <c r="A155" s="159"/>
      <c r="B155" s="143" t="str">
        <f t="shared" si="0"/>
        <v>143.</v>
      </c>
      <c r="C155" s="205" t="s">
        <v>629</v>
      </c>
      <c r="D155" s="162"/>
      <c r="E155" s="163"/>
      <c r="F155" s="555" t="s">
        <v>1758</v>
      </c>
      <c r="G155" s="164"/>
      <c r="H155" s="204" t="s">
        <v>689</v>
      </c>
      <c r="I155" s="207">
        <v>46013</v>
      </c>
      <c r="J155" s="208">
        <v>270000</v>
      </c>
      <c r="K155" s="206" t="s">
        <v>408</v>
      </c>
      <c r="L155" s="204" t="s">
        <v>873</v>
      </c>
      <c r="N155" s="141">
        <f t="shared" si="3"/>
        <v>143</v>
      </c>
    </row>
    <row r="156" spans="1:14" ht="30">
      <c r="A156" s="159"/>
      <c r="B156" s="143" t="str">
        <f t="shared" si="0"/>
        <v>144.</v>
      </c>
      <c r="C156" s="205" t="s">
        <v>576</v>
      </c>
      <c r="D156" s="162"/>
      <c r="E156" s="163"/>
      <c r="F156" s="555" t="s">
        <v>1759</v>
      </c>
      <c r="G156" s="164"/>
      <c r="H156" s="204" t="s">
        <v>632</v>
      </c>
      <c r="I156" s="207">
        <v>46020</v>
      </c>
      <c r="J156" s="208">
        <v>17100000</v>
      </c>
      <c r="K156" s="206" t="s">
        <v>408</v>
      </c>
      <c r="L156" s="204" t="s">
        <v>874</v>
      </c>
      <c r="N156" s="141">
        <f t="shared" si="3"/>
        <v>144</v>
      </c>
    </row>
    <row r="157" spans="1:14" ht="30">
      <c r="A157" s="159"/>
      <c r="B157" s="143" t="str">
        <f t="shared" si="0"/>
        <v>145.</v>
      </c>
      <c r="C157" s="205" t="s">
        <v>630</v>
      </c>
      <c r="D157" s="162"/>
      <c r="E157" s="163"/>
      <c r="F157" s="555" t="s">
        <v>1760</v>
      </c>
      <c r="G157" s="164"/>
      <c r="H157" s="204" t="s">
        <v>690</v>
      </c>
      <c r="I157" s="207">
        <v>46020</v>
      </c>
      <c r="J157" s="208">
        <v>4000000</v>
      </c>
      <c r="K157" s="206" t="s">
        <v>408</v>
      </c>
      <c r="L157" s="204" t="s">
        <v>875</v>
      </c>
      <c r="N157" s="141">
        <f t="shared" si="3"/>
        <v>145</v>
      </c>
    </row>
    <row r="158" spans="1:14" ht="30">
      <c r="A158" s="159"/>
      <c r="B158" s="143" t="str">
        <f t="shared" si="0"/>
        <v>146.</v>
      </c>
      <c r="C158" s="205" t="s">
        <v>631</v>
      </c>
      <c r="D158" s="162"/>
      <c r="E158" s="163"/>
      <c r="F158" s="555" t="s">
        <v>1760</v>
      </c>
      <c r="G158" s="164"/>
      <c r="H158" s="204" t="s">
        <v>691</v>
      </c>
      <c r="I158" s="207">
        <v>46020</v>
      </c>
      <c r="J158" s="208">
        <v>2500000</v>
      </c>
      <c r="K158" s="206" t="s">
        <v>408</v>
      </c>
      <c r="L158" s="204" t="s">
        <v>876</v>
      </c>
      <c r="N158" s="141">
        <f t="shared" si="3"/>
        <v>146</v>
      </c>
    </row>
    <row r="159" spans="1:14">
      <c r="A159" s="159"/>
      <c r="B159" s="143"/>
      <c r="C159" s="166"/>
      <c r="D159" s="162"/>
      <c r="E159" s="163"/>
      <c r="F159" s="556"/>
      <c r="G159" s="164"/>
      <c r="H159" s="168"/>
      <c r="I159" s="159"/>
      <c r="J159" s="169"/>
      <c r="K159" s="159"/>
      <c r="L159" s="163"/>
    </row>
    <row r="160" spans="1:14">
      <c r="A160" s="159"/>
      <c r="B160" s="143"/>
      <c r="C160" s="166"/>
      <c r="D160" s="162"/>
      <c r="E160" s="163"/>
      <c r="F160" s="556"/>
      <c r="G160" s="164"/>
      <c r="H160" s="168"/>
      <c r="I160" s="159"/>
      <c r="J160" s="170">
        <f>SUM(J13:J158)</f>
        <v>469400964</v>
      </c>
      <c r="K160" s="159"/>
      <c r="L160" s="163"/>
    </row>
    <row r="161" spans="1:14" s="157" customFormat="1">
      <c r="A161" s="150" t="s">
        <v>412</v>
      </c>
      <c r="B161" s="151" t="s">
        <v>209</v>
      </c>
      <c r="C161" s="152"/>
      <c r="D161" s="153"/>
      <c r="E161" s="154"/>
      <c r="F161" s="557"/>
      <c r="G161" s="155"/>
      <c r="H161" s="154"/>
      <c r="I161" s="150"/>
      <c r="J161" s="156"/>
      <c r="K161" s="150"/>
      <c r="L161" s="154"/>
      <c r="N161" s="158"/>
    </row>
    <row r="162" spans="1:14" ht="30">
      <c r="A162" s="159"/>
      <c r="B162" s="143" t="str">
        <f t="shared" ref="B162:B182" si="4">N162&amp;"."</f>
        <v>1.</v>
      </c>
      <c r="C162" s="205" t="s">
        <v>727</v>
      </c>
      <c r="D162" s="162"/>
      <c r="E162" s="163"/>
      <c r="F162" s="555" t="s">
        <v>1761</v>
      </c>
      <c r="G162" s="164"/>
      <c r="H162" s="204" t="s">
        <v>737</v>
      </c>
      <c r="I162" s="206">
        <v>1916</v>
      </c>
      <c r="J162" s="208">
        <f>450000000+102212000</f>
        <v>552212000</v>
      </c>
      <c r="K162" s="159" t="s">
        <v>408</v>
      </c>
      <c r="L162" s="204" t="s">
        <v>752</v>
      </c>
      <c r="N162" s="141">
        <v>1</v>
      </c>
    </row>
    <row r="163" spans="1:14" ht="30">
      <c r="A163" s="159"/>
      <c r="B163" s="143" t="str">
        <f t="shared" si="4"/>
        <v>2.</v>
      </c>
      <c r="C163" s="205" t="s">
        <v>728</v>
      </c>
      <c r="D163" s="162"/>
      <c r="E163" s="163"/>
      <c r="F163" s="159"/>
      <c r="G163" s="164"/>
      <c r="H163" s="204" t="s">
        <v>738</v>
      </c>
      <c r="I163" s="206">
        <v>2009</v>
      </c>
      <c r="J163" s="208">
        <v>85194650</v>
      </c>
      <c r="K163" s="159" t="s">
        <v>408</v>
      </c>
      <c r="L163" s="204" t="s">
        <v>753</v>
      </c>
      <c r="N163" s="141">
        <f>N162+1</f>
        <v>2</v>
      </c>
    </row>
    <row r="164" spans="1:14" ht="30">
      <c r="A164" s="159"/>
      <c r="B164" s="143" t="str">
        <f t="shared" si="4"/>
        <v>3.</v>
      </c>
      <c r="C164" s="205" t="s">
        <v>729</v>
      </c>
      <c r="D164" s="162"/>
      <c r="E164" s="163"/>
      <c r="F164" s="159"/>
      <c r="G164" s="164"/>
      <c r="H164" s="204" t="s">
        <v>739</v>
      </c>
      <c r="I164" s="206">
        <v>2010</v>
      </c>
      <c r="J164" s="208">
        <v>45000000</v>
      </c>
      <c r="K164" s="159" t="s">
        <v>408</v>
      </c>
      <c r="L164" s="204" t="s">
        <v>754</v>
      </c>
      <c r="N164" s="141">
        <f t="shared" ref="N164:N191" si="5">N163+1</f>
        <v>3</v>
      </c>
    </row>
    <row r="165" spans="1:14" ht="30">
      <c r="A165" s="159"/>
      <c r="B165" s="143" t="str">
        <f t="shared" si="4"/>
        <v>4.</v>
      </c>
      <c r="C165" s="205" t="s">
        <v>729</v>
      </c>
      <c r="D165" s="162"/>
      <c r="E165" s="163"/>
      <c r="F165" s="159"/>
      <c r="G165" s="164"/>
      <c r="H165" s="204" t="s">
        <v>739</v>
      </c>
      <c r="I165" s="206">
        <v>2010</v>
      </c>
      <c r="J165" s="208">
        <v>270000000</v>
      </c>
      <c r="K165" s="159" t="s">
        <v>408</v>
      </c>
      <c r="L165" s="204" t="s">
        <v>755</v>
      </c>
      <c r="N165" s="141">
        <f t="shared" si="5"/>
        <v>4</v>
      </c>
    </row>
    <row r="166" spans="1:14" ht="15">
      <c r="A166" s="159"/>
      <c r="B166" s="143" t="str">
        <f t="shared" si="4"/>
        <v>5.</v>
      </c>
      <c r="C166" s="205" t="s">
        <v>728</v>
      </c>
      <c r="D166" s="162"/>
      <c r="E166" s="163"/>
      <c r="F166" s="159"/>
      <c r="G166" s="164"/>
      <c r="H166" s="204" t="s">
        <v>738</v>
      </c>
      <c r="I166" s="206">
        <v>2011</v>
      </c>
      <c r="J166" s="208">
        <v>83209800</v>
      </c>
      <c r="K166" s="159" t="s">
        <v>408</v>
      </c>
      <c r="L166" s="204" t="s">
        <v>756</v>
      </c>
      <c r="N166" s="141">
        <f t="shared" si="5"/>
        <v>5</v>
      </c>
    </row>
    <row r="167" spans="1:14" ht="15">
      <c r="A167" s="159"/>
      <c r="B167" s="143" t="str">
        <f t="shared" si="4"/>
        <v>6.</v>
      </c>
      <c r="C167" s="205" t="s">
        <v>728</v>
      </c>
      <c r="D167" s="162"/>
      <c r="E167" s="163"/>
      <c r="F167" s="159"/>
      <c r="G167" s="164"/>
      <c r="H167" s="204" t="s">
        <v>738</v>
      </c>
      <c r="I167" s="206">
        <v>2011</v>
      </c>
      <c r="J167" s="208">
        <v>63000000</v>
      </c>
      <c r="K167" s="159" t="s">
        <v>408</v>
      </c>
      <c r="L167" s="204" t="s">
        <v>757</v>
      </c>
      <c r="N167" s="141">
        <f t="shared" si="5"/>
        <v>6</v>
      </c>
    </row>
    <row r="168" spans="1:14" ht="15">
      <c r="A168" s="159"/>
      <c r="B168" s="143" t="str">
        <f t="shared" si="4"/>
        <v>7.</v>
      </c>
      <c r="C168" s="205" t="s">
        <v>728</v>
      </c>
      <c r="D168" s="162"/>
      <c r="E168" s="163"/>
      <c r="F168" s="159"/>
      <c r="G168" s="164"/>
      <c r="H168" s="204" t="s">
        <v>738</v>
      </c>
      <c r="I168" s="206">
        <v>2011</v>
      </c>
      <c r="J168" s="208">
        <v>83209800</v>
      </c>
      <c r="K168" s="159" t="s">
        <v>408</v>
      </c>
      <c r="L168" s="204" t="s">
        <v>758</v>
      </c>
      <c r="N168" s="141">
        <f t="shared" si="5"/>
        <v>7</v>
      </c>
    </row>
    <row r="169" spans="1:14" ht="15">
      <c r="A169" s="159"/>
      <c r="B169" s="143" t="str">
        <f t="shared" si="4"/>
        <v>8.</v>
      </c>
      <c r="C169" s="205" t="s">
        <v>728</v>
      </c>
      <c r="D169" s="162"/>
      <c r="E169" s="163"/>
      <c r="F169" s="159"/>
      <c r="G169" s="164"/>
      <c r="H169" s="204" t="s">
        <v>738</v>
      </c>
      <c r="I169" s="206">
        <v>2012</v>
      </c>
      <c r="J169" s="208">
        <v>83464200</v>
      </c>
      <c r="K169" s="159" t="s">
        <v>408</v>
      </c>
      <c r="L169" s="204" t="s">
        <v>759</v>
      </c>
      <c r="N169" s="141">
        <f t="shared" si="5"/>
        <v>8</v>
      </c>
    </row>
    <row r="170" spans="1:14" ht="30">
      <c r="A170" s="159"/>
      <c r="B170" s="143" t="str">
        <f t="shared" si="4"/>
        <v>9.</v>
      </c>
      <c r="C170" s="205" t="s">
        <v>728</v>
      </c>
      <c r="D170" s="162"/>
      <c r="E170" s="163"/>
      <c r="F170" s="159"/>
      <c r="G170" s="164"/>
      <c r="H170" s="204" t="s">
        <v>738</v>
      </c>
      <c r="I170" s="206">
        <v>2012</v>
      </c>
      <c r="J170" s="208">
        <v>85504400</v>
      </c>
      <c r="K170" s="159" t="s">
        <v>408</v>
      </c>
      <c r="L170" s="204" t="s">
        <v>760</v>
      </c>
      <c r="N170" s="141">
        <f t="shared" si="5"/>
        <v>9</v>
      </c>
    </row>
    <row r="171" spans="1:14" ht="15">
      <c r="A171" s="159"/>
      <c r="B171" s="143" t="str">
        <f t="shared" si="4"/>
        <v>10.</v>
      </c>
      <c r="C171" s="205" t="s">
        <v>728</v>
      </c>
      <c r="D171" s="162"/>
      <c r="E171" s="163"/>
      <c r="F171" s="159"/>
      <c r="G171" s="164"/>
      <c r="H171" s="204" t="s">
        <v>738</v>
      </c>
      <c r="I171" s="206">
        <v>2013</v>
      </c>
      <c r="J171" s="208">
        <v>146392500</v>
      </c>
      <c r="K171" s="159" t="s">
        <v>408</v>
      </c>
      <c r="L171" s="204" t="s">
        <v>761</v>
      </c>
      <c r="N171" s="141">
        <f t="shared" si="5"/>
        <v>10</v>
      </c>
    </row>
    <row r="172" spans="1:14" ht="15">
      <c r="A172" s="159"/>
      <c r="B172" s="143" t="str">
        <f t="shared" si="4"/>
        <v>11.</v>
      </c>
      <c r="C172" s="205" t="s">
        <v>728</v>
      </c>
      <c r="D172" s="162"/>
      <c r="E172" s="163"/>
      <c r="F172" s="159"/>
      <c r="G172" s="164"/>
      <c r="H172" s="204" t="s">
        <v>738</v>
      </c>
      <c r="I172" s="206">
        <v>2014</v>
      </c>
      <c r="J172" s="208">
        <v>109326200</v>
      </c>
      <c r="K172" s="159" t="s">
        <v>408</v>
      </c>
      <c r="L172" s="204" t="s">
        <v>762</v>
      </c>
      <c r="N172" s="141">
        <f t="shared" si="5"/>
        <v>11</v>
      </c>
    </row>
    <row r="173" spans="1:14" ht="15">
      <c r="A173" s="159"/>
      <c r="B173" s="143" t="str">
        <f t="shared" si="4"/>
        <v>12.</v>
      </c>
      <c r="C173" s="205" t="s">
        <v>728</v>
      </c>
      <c r="D173" s="162"/>
      <c r="E173" s="163"/>
      <c r="F173" s="159"/>
      <c r="G173" s="164"/>
      <c r="H173" s="204" t="s">
        <v>738</v>
      </c>
      <c r="I173" s="206">
        <v>2014</v>
      </c>
      <c r="J173" s="208">
        <v>80982400</v>
      </c>
      <c r="K173" s="159" t="s">
        <v>408</v>
      </c>
      <c r="L173" s="204" t="s">
        <v>763</v>
      </c>
      <c r="N173" s="141">
        <f t="shared" si="5"/>
        <v>12</v>
      </c>
    </row>
    <row r="174" spans="1:14" ht="45">
      <c r="A174" s="159"/>
      <c r="B174" s="143" t="str">
        <f t="shared" si="4"/>
        <v>13.</v>
      </c>
      <c r="C174" s="205" t="s">
        <v>729</v>
      </c>
      <c r="D174" s="162"/>
      <c r="E174" s="163"/>
      <c r="F174" s="159"/>
      <c r="G174" s="164"/>
      <c r="H174" s="204" t="s">
        <v>739</v>
      </c>
      <c r="I174" s="206" t="s">
        <v>747</v>
      </c>
      <c r="J174" s="208">
        <v>568326511</v>
      </c>
      <c r="K174" s="159" t="s">
        <v>408</v>
      </c>
      <c r="L174" s="204" t="s">
        <v>764</v>
      </c>
      <c r="N174" s="141">
        <f t="shared" si="5"/>
        <v>13</v>
      </c>
    </row>
    <row r="175" spans="1:14" ht="45">
      <c r="A175" s="159"/>
      <c r="B175" s="143" t="str">
        <f t="shared" si="4"/>
        <v>14.</v>
      </c>
      <c r="C175" s="205" t="s">
        <v>729</v>
      </c>
      <c r="D175" s="162"/>
      <c r="E175" s="163"/>
      <c r="F175" s="159"/>
      <c r="G175" s="164"/>
      <c r="H175" s="204" t="s">
        <v>739</v>
      </c>
      <c r="I175" s="206" t="s">
        <v>747</v>
      </c>
      <c r="J175" s="208">
        <v>278960600</v>
      </c>
      <c r="K175" s="159" t="s">
        <v>408</v>
      </c>
      <c r="L175" s="204" t="s">
        <v>765</v>
      </c>
      <c r="N175" s="141">
        <f t="shared" si="5"/>
        <v>14</v>
      </c>
    </row>
    <row r="176" spans="1:14" ht="30">
      <c r="A176" s="159"/>
      <c r="B176" s="143" t="str">
        <f t="shared" si="4"/>
        <v>15.</v>
      </c>
      <c r="C176" s="205" t="s">
        <v>729</v>
      </c>
      <c r="D176" s="162"/>
      <c r="E176" s="163"/>
      <c r="F176" s="159"/>
      <c r="G176" s="164"/>
      <c r="H176" s="204" t="s">
        <v>739</v>
      </c>
      <c r="I176" s="206" t="s">
        <v>747</v>
      </c>
      <c r="J176" s="208">
        <v>167376361</v>
      </c>
      <c r="K176" s="159" t="s">
        <v>408</v>
      </c>
      <c r="L176" s="204" t="s">
        <v>766</v>
      </c>
      <c r="N176" s="141">
        <f t="shared" si="5"/>
        <v>15</v>
      </c>
    </row>
    <row r="177" spans="1:14" ht="45">
      <c r="A177" s="159"/>
      <c r="B177" s="143" t="str">
        <f t="shared" si="4"/>
        <v>16.</v>
      </c>
      <c r="C177" s="205" t="s">
        <v>729</v>
      </c>
      <c r="D177" s="162"/>
      <c r="E177" s="163"/>
      <c r="F177" s="159"/>
      <c r="G177" s="164"/>
      <c r="H177" s="204" t="s">
        <v>739</v>
      </c>
      <c r="I177" s="206" t="s">
        <v>696</v>
      </c>
      <c r="J177" s="208">
        <v>239876898</v>
      </c>
      <c r="K177" s="159" t="s">
        <v>408</v>
      </c>
      <c r="L177" s="204" t="s">
        <v>767</v>
      </c>
      <c r="N177" s="141">
        <f t="shared" si="5"/>
        <v>16</v>
      </c>
    </row>
    <row r="178" spans="1:14" ht="30">
      <c r="A178" s="159"/>
      <c r="B178" s="143" t="str">
        <f t="shared" si="4"/>
        <v>17.</v>
      </c>
      <c r="C178" s="205" t="s">
        <v>729</v>
      </c>
      <c r="D178" s="162"/>
      <c r="E178" s="163"/>
      <c r="F178" s="159"/>
      <c r="G178" s="164"/>
      <c r="H178" s="204" t="s">
        <v>739</v>
      </c>
      <c r="I178" s="207">
        <v>42986</v>
      </c>
      <c r="J178" s="208">
        <v>359461280</v>
      </c>
      <c r="K178" s="159" t="s">
        <v>408</v>
      </c>
      <c r="L178" s="204" t="s">
        <v>768</v>
      </c>
      <c r="N178" s="141">
        <f t="shared" si="5"/>
        <v>17</v>
      </c>
    </row>
    <row r="179" spans="1:14" ht="30">
      <c r="A179" s="159"/>
      <c r="B179" s="143" t="str">
        <f t="shared" si="4"/>
        <v>18.</v>
      </c>
      <c r="C179" s="205" t="s">
        <v>730</v>
      </c>
      <c r="D179" s="162"/>
      <c r="E179" s="163"/>
      <c r="F179" s="159"/>
      <c r="G179" s="164"/>
      <c r="H179" s="204" t="s">
        <v>740</v>
      </c>
      <c r="I179" s="206" t="s">
        <v>748</v>
      </c>
      <c r="J179" s="208">
        <v>14297727</v>
      </c>
      <c r="K179" s="159" t="s">
        <v>408</v>
      </c>
      <c r="L179" s="204" t="s">
        <v>769</v>
      </c>
      <c r="N179" s="141">
        <f t="shared" si="5"/>
        <v>18</v>
      </c>
    </row>
    <row r="180" spans="1:14" ht="30">
      <c r="A180" s="159"/>
      <c r="B180" s="143" t="str">
        <f t="shared" si="4"/>
        <v>19.</v>
      </c>
      <c r="C180" s="205" t="s">
        <v>730</v>
      </c>
      <c r="D180" s="162"/>
      <c r="E180" s="163"/>
      <c r="F180" s="159"/>
      <c r="G180" s="164"/>
      <c r="H180" s="204" t="s">
        <v>740</v>
      </c>
      <c r="I180" s="206" t="s">
        <v>748</v>
      </c>
      <c r="J180" s="208">
        <v>12051534</v>
      </c>
      <c r="K180" s="159" t="s">
        <v>408</v>
      </c>
      <c r="L180" s="204" t="s">
        <v>770</v>
      </c>
      <c r="N180" s="141">
        <f t="shared" si="5"/>
        <v>19</v>
      </c>
    </row>
    <row r="181" spans="1:14" ht="13.5" customHeight="1">
      <c r="A181" s="159"/>
      <c r="B181" s="143" t="str">
        <f t="shared" si="4"/>
        <v>20.</v>
      </c>
      <c r="C181" s="205" t="s">
        <v>730</v>
      </c>
      <c r="D181" s="162"/>
      <c r="E181" s="163"/>
      <c r="F181" s="171"/>
      <c r="G181" s="164"/>
      <c r="H181" s="204" t="s">
        <v>740</v>
      </c>
      <c r="I181" s="206" t="s">
        <v>748</v>
      </c>
      <c r="J181" s="208">
        <v>6616621</v>
      </c>
      <c r="K181" s="159" t="s">
        <v>408</v>
      </c>
      <c r="L181" s="204" t="s">
        <v>771</v>
      </c>
      <c r="N181" s="141">
        <f t="shared" si="5"/>
        <v>20</v>
      </c>
    </row>
    <row r="182" spans="1:14" ht="13.5" customHeight="1">
      <c r="A182" s="159"/>
      <c r="B182" s="143" t="str">
        <f t="shared" si="4"/>
        <v>21.</v>
      </c>
      <c r="C182" s="205" t="s">
        <v>730</v>
      </c>
      <c r="D182" s="162"/>
      <c r="E182" s="163"/>
      <c r="F182" s="159"/>
      <c r="G182" s="164"/>
      <c r="H182" s="204" t="s">
        <v>740</v>
      </c>
      <c r="I182" s="206" t="s">
        <v>748</v>
      </c>
      <c r="J182" s="208">
        <v>12113105</v>
      </c>
      <c r="K182" s="159" t="s">
        <v>408</v>
      </c>
      <c r="L182" s="204" t="s">
        <v>772</v>
      </c>
      <c r="N182" s="141">
        <f t="shared" si="5"/>
        <v>21</v>
      </c>
    </row>
    <row r="183" spans="1:14" ht="13.5" customHeight="1">
      <c r="A183" s="159"/>
      <c r="B183" s="143" t="str">
        <f>N183&amp;"."</f>
        <v>22.</v>
      </c>
      <c r="C183" s="205" t="s">
        <v>730</v>
      </c>
      <c r="D183" s="162"/>
      <c r="E183" s="163"/>
      <c r="F183" s="171"/>
      <c r="G183" s="164"/>
      <c r="H183" s="204" t="s">
        <v>740</v>
      </c>
      <c r="I183" s="206" t="s">
        <v>748</v>
      </c>
      <c r="J183" s="208">
        <v>13161013</v>
      </c>
      <c r="K183" s="159" t="s">
        <v>408</v>
      </c>
      <c r="L183" s="204" t="s">
        <v>773</v>
      </c>
      <c r="N183" s="141">
        <f t="shared" si="5"/>
        <v>22</v>
      </c>
    </row>
    <row r="184" spans="1:14" ht="13.5" customHeight="1">
      <c r="A184" s="159"/>
      <c r="B184" s="143" t="str">
        <f t="shared" ref="B184:B188" si="6">N184&amp;"."</f>
        <v>23.</v>
      </c>
      <c r="C184" s="205" t="s">
        <v>731</v>
      </c>
      <c r="D184" s="162"/>
      <c r="E184" s="163"/>
      <c r="F184" s="171"/>
      <c r="G184" s="164"/>
      <c r="H184" s="204" t="s">
        <v>741</v>
      </c>
      <c r="I184" s="206" t="s">
        <v>749</v>
      </c>
      <c r="J184" s="208">
        <v>84586000</v>
      </c>
      <c r="K184" s="159" t="s">
        <v>408</v>
      </c>
      <c r="L184" s="204" t="s">
        <v>774</v>
      </c>
      <c r="N184" s="141">
        <f t="shared" si="5"/>
        <v>23</v>
      </c>
    </row>
    <row r="185" spans="1:14" ht="13.5" customHeight="1">
      <c r="A185" s="159"/>
      <c r="B185" s="143" t="str">
        <f t="shared" si="6"/>
        <v>24.</v>
      </c>
      <c r="C185" s="205" t="s">
        <v>732</v>
      </c>
      <c r="D185" s="162"/>
      <c r="E185" s="163"/>
      <c r="F185" s="159"/>
      <c r="G185" s="164"/>
      <c r="H185" s="204" t="s">
        <v>742</v>
      </c>
      <c r="I185" s="206" t="s">
        <v>750</v>
      </c>
      <c r="J185" s="208">
        <v>46228000</v>
      </c>
      <c r="K185" s="159" t="s">
        <v>408</v>
      </c>
      <c r="L185" s="204" t="s">
        <v>775</v>
      </c>
      <c r="N185" s="141">
        <f t="shared" si="5"/>
        <v>24</v>
      </c>
    </row>
    <row r="186" spans="1:14" ht="13.5" customHeight="1">
      <c r="A186" s="159"/>
      <c r="B186" s="143" t="str">
        <f t="shared" si="6"/>
        <v>25.</v>
      </c>
      <c r="C186" s="205" t="s">
        <v>733</v>
      </c>
      <c r="D186" s="162"/>
      <c r="E186" s="163"/>
      <c r="F186" s="159"/>
      <c r="G186" s="164"/>
      <c r="H186" s="204" t="s">
        <v>743</v>
      </c>
      <c r="I186" s="207">
        <v>44042</v>
      </c>
      <c r="J186" s="208">
        <v>219736000</v>
      </c>
      <c r="K186" s="159" t="s">
        <v>408</v>
      </c>
      <c r="L186" s="204" t="s">
        <v>776</v>
      </c>
      <c r="N186" s="141">
        <f t="shared" si="5"/>
        <v>25</v>
      </c>
    </row>
    <row r="187" spans="1:14" ht="13.5" customHeight="1">
      <c r="A187" s="159"/>
      <c r="B187" s="143" t="str">
        <f t="shared" si="6"/>
        <v>26.</v>
      </c>
      <c r="C187" s="205" t="s">
        <v>734</v>
      </c>
      <c r="D187" s="162"/>
      <c r="E187" s="163"/>
      <c r="F187" s="159"/>
      <c r="G187" s="164"/>
      <c r="H187" s="204" t="s">
        <v>744</v>
      </c>
      <c r="I187" s="206" t="s">
        <v>751</v>
      </c>
      <c r="J187" s="208">
        <v>63000000</v>
      </c>
      <c r="K187" s="159" t="s">
        <v>408</v>
      </c>
      <c r="L187" s="204" t="s">
        <v>413</v>
      </c>
      <c r="N187" s="141">
        <f t="shared" si="5"/>
        <v>26</v>
      </c>
    </row>
    <row r="188" spans="1:14" ht="13.5" customHeight="1">
      <c r="A188" s="159"/>
      <c r="B188" s="143" t="str">
        <f t="shared" si="6"/>
        <v>27.</v>
      </c>
      <c r="C188" s="205" t="s">
        <v>729</v>
      </c>
      <c r="D188" s="162"/>
      <c r="E188" s="163"/>
      <c r="F188" s="159"/>
      <c r="G188" s="164"/>
      <c r="H188" s="204" t="s">
        <v>739</v>
      </c>
      <c r="I188" s="207">
        <v>45289</v>
      </c>
      <c r="J188" s="208">
        <v>286873500</v>
      </c>
      <c r="K188" s="159" t="s">
        <v>408</v>
      </c>
      <c r="L188" s="204" t="s">
        <v>777</v>
      </c>
      <c r="N188" s="141">
        <f t="shared" si="5"/>
        <v>27</v>
      </c>
    </row>
    <row r="189" spans="1:14" ht="27" customHeight="1">
      <c r="A189" s="159"/>
      <c r="B189" s="143" t="str">
        <f>N190&amp;"."</f>
        <v>28.</v>
      </c>
      <c r="C189" s="307" t="s">
        <v>733</v>
      </c>
      <c r="D189" s="162"/>
      <c r="E189" s="163"/>
      <c r="F189" s="555" t="s">
        <v>1762</v>
      </c>
      <c r="G189" s="164"/>
      <c r="H189" s="306" t="s">
        <v>743</v>
      </c>
      <c r="I189" s="308">
        <v>45896</v>
      </c>
      <c r="J189" s="309">
        <v>120000000</v>
      </c>
      <c r="K189" s="159" t="s">
        <v>408</v>
      </c>
      <c r="L189" s="306" t="s">
        <v>1619</v>
      </c>
    </row>
    <row r="190" spans="1:14" ht="25.5" customHeight="1">
      <c r="A190" s="159"/>
      <c r="B190" s="143" t="str">
        <f>N191&amp;"."</f>
        <v>29.</v>
      </c>
      <c r="C190" s="205" t="s">
        <v>735</v>
      </c>
      <c r="D190" s="162"/>
      <c r="E190" s="163"/>
      <c r="F190" s="555" t="s">
        <v>1763</v>
      </c>
      <c r="G190" s="164"/>
      <c r="H190" s="204" t="s">
        <v>745</v>
      </c>
      <c r="I190" s="207">
        <v>45989</v>
      </c>
      <c r="J190" s="208">
        <v>446704500</v>
      </c>
      <c r="K190" s="159" t="s">
        <v>408</v>
      </c>
      <c r="L190" s="204" t="s">
        <v>778</v>
      </c>
      <c r="N190" s="141">
        <f>N188+1</f>
        <v>28</v>
      </c>
    </row>
    <row r="191" spans="1:14" ht="27" customHeight="1">
      <c r="A191" s="159"/>
      <c r="B191" s="186" t="s">
        <v>1618</v>
      </c>
      <c r="C191" s="205" t="s">
        <v>736</v>
      </c>
      <c r="D191" s="162"/>
      <c r="E191" s="163"/>
      <c r="F191" s="555" t="s">
        <v>1764</v>
      </c>
      <c r="G191" s="164"/>
      <c r="H191" s="204" t="s">
        <v>746</v>
      </c>
      <c r="I191" s="207">
        <v>46007</v>
      </c>
      <c r="J191" s="208">
        <v>48450000</v>
      </c>
      <c r="K191" s="159" t="s">
        <v>408</v>
      </c>
      <c r="L191" s="204" t="s">
        <v>779</v>
      </c>
      <c r="N191" s="141">
        <f t="shared" si="5"/>
        <v>29</v>
      </c>
    </row>
    <row r="192" spans="1:14" ht="13.5" customHeight="1">
      <c r="A192" s="159"/>
      <c r="B192" s="143"/>
      <c r="C192" s="166"/>
      <c r="D192" s="162"/>
      <c r="E192" s="163"/>
      <c r="F192" s="159"/>
      <c r="G192" s="164"/>
      <c r="H192" s="168"/>
      <c r="I192" s="159"/>
      <c r="J192" s="172"/>
      <c r="K192" s="159"/>
      <c r="L192" s="163"/>
    </row>
    <row r="193" spans="1:14">
      <c r="A193" s="159"/>
      <c r="B193" s="174"/>
      <c r="C193" s="166"/>
      <c r="D193" s="162"/>
      <c r="E193" s="163"/>
      <c r="F193" s="159"/>
      <c r="G193" s="164"/>
      <c r="H193" s="163"/>
      <c r="I193" s="159"/>
      <c r="J193" s="156">
        <f>SUM(J162:J192)</f>
        <v>4675315600</v>
      </c>
      <c r="K193" s="159"/>
      <c r="L193" s="163"/>
    </row>
    <row r="194" spans="1:14" s="157" customFormat="1">
      <c r="A194" s="150" t="s">
        <v>414</v>
      </c>
      <c r="B194" s="151" t="s">
        <v>415</v>
      </c>
      <c r="C194" s="152"/>
      <c r="D194" s="153"/>
      <c r="E194" s="154"/>
      <c r="F194" s="150"/>
      <c r="G194" s="155"/>
      <c r="H194" s="154"/>
      <c r="I194" s="150"/>
      <c r="J194" s="175"/>
      <c r="K194" s="150"/>
      <c r="L194" s="176"/>
      <c r="N194" s="158"/>
    </row>
    <row r="195" spans="1:14" ht="15">
      <c r="A195" s="159"/>
      <c r="B195" s="143" t="str">
        <f t="shared" ref="B195:B252" si="7">N195&amp;"."</f>
        <v>1.</v>
      </c>
      <c r="C195" s="205" t="s">
        <v>877</v>
      </c>
      <c r="D195" s="162"/>
      <c r="E195" s="163"/>
      <c r="F195" s="159"/>
      <c r="G195" s="164"/>
      <c r="H195" s="204" t="s">
        <v>884</v>
      </c>
      <c r="I195" s="207" t="s">
        <v>891</v>
      </c>
      <c r="J195" s="208">
        <v>15000000</v>
      </c>
      <c r="K195" s="159" t="s">
        <v>408</v>
      </c>
      <c r="L195" s="204" t="s">
        <v>895</v>
      </c>
      <c r="N195" s="141">
        <v>1</v>
      </c>
    </row>
    <row r="196" spans="1:14" ht="15">
      <c r="A196" s="159"/>
      <c r="B196" s="143" t="str">
        <f t="shared" si="7"/>
        <v>2.</v>
      </c>
      <c r="C196" s="205" t="s">
        <v>878</v>
      </c>
      <c r="D196" s="162"/>
      <c r="E196" s="163"/>
      <c r="F196" s="553" t="s">
        <v>1781</v>
      </c>
      <c r="G196" s="550" t="s">
        <v>1782</v>
      </c>
      <c r="H196" s="204" t="s">
        <v>885</v>
      </c>
      <c r="I196" s="207">
        <v>42634</v>
      </c>
      <c r="J196" s="208">
        <v>410302700</v>
      </c>
      <c r="K196" s="159" t="s">
        <v>408</v>
      </c>
      <c r="L196" s="204" t="s">
        <v>896</v>
      </c>
      <c r="N196" s="141">
        <f>N195+1</f>
        <v>2</v>
      </c>
    </row>
    <row r="197" spans="1:14" ht="15">
      <c r="A197" s="159"/>
      <c r="B197" s="143" t="str">
        <f t="shared" si="7"/>
        <v>3.</v>
      </c>
      <c r="C197" s="205" t="s">
        <v>877</v>
      </c>
      <c r="D197" s="162"/>
      <c r="E197" s="163"/>
      <c r="F197" s="159"/>
      <c r="G197" s="164"/>
      <c r="H197" s="204" t="s">
        <v>884</v>
      </c>
      <c r="I197" s="207" t="s">
        <v>892</v>
      </c>
      <c r="J197" s="208">
        <v>47296000</v>
      </c>
      <c r="K197" s="159" t="s">
        <v>408</v>
      </c>
      <c r="L197" s="204" t="s">
        <v>897</v>
      </c>
      <c r="N197" s="141">
        <f t="shared" ref="N197:N251" si="8">N196+1</f>
        <v>3</v>
      </c>
    </row>
    <row r="198" spans="1:14" ht="30">
      <c r="A198" s="159"/>
      <c r="B198" s="143" t="str">
        <f t="shared" si="7"/>
        <v>4.</v>
      </c>
      <c r="C198" s="205" t="s">
        <v>879</v>
      </c>
      <c r="D198" s="162"/>
      <c r="E198" s="163"/>
      <c r="F198" s="554" t="s">
        <v>1783</v>
      </c>
      <c r="G198" s="552">
        <v>43075</v>
      </c>
      <c r="H198" s="204" t="s">
        <v>886</v>
      </c>
      <c r="I198" s="207">
        <v>42898</v>
      </c>
      <c r="J198" s="208">
        <v>46910000</v>
      </c>
      <c r="K198" s="159" t="s">
        <v>408</v>
      </c>
      <c r="L198" s="204" t="s">
        <v>898</v>
      </c>
      <c r="N198" s="141">
        <f t="shared" si="8"/>
        <v>4</v>
      </c>
    </row>
    <row r="199" spans="1:14" ht="15">
      <c r="A199" s="159"/>
      <c r="B199" s="143" t="str">
        <f t="shared" si="7"/>
        <v>5.</v>
      </c>
      <c r="C199" s="205" t="s">
        <v>880</v>
      </c>
      <c r="D199" s="162"/>
      <c r="E199" s="163"/>
      <c r="F199" s="159"/>
      <c r="G199" s="164"/>
      <c r="H199" s="204" t="s">
        <v>887</v>
      </c>
      <c r="I199" s="207" t="s">
        <v>893</v>
      </c>
      <c r="J199" s="208">
        <v>16987909</v>
      </c>
      <c r="K199" s="159" t="s">
        <v>408</v>
      </c>
      <c r="L199" s="204" t="s">
        <v>899</v>
      </c>
      <c r="N199" s="141">
        <f t="shared" si="8"/>
        <v>5</v>
      </c>
    </row>
    <row r="200" spans="1:14" ht="15">
      <c r="A200" s="159"/>
      <c r="B200" s="143" t="str">
        <f t="shared" si="7"/>
        <v>6.</v>
      </c>
      <c r="C200" s="205" t="s">
        <v>878</v>
      </c>
      <c r="D200" s="162"/>
      <c r="E200" s="163"/>
      <c r="F200" s="159"/>
      <c r="G200" s="164"/>
      <c r="H200" s="204" t="s">
        <v>885</v>
      </c>
      <c r="I200" s="207">
        <v>42959</v>
      </c>
      <c r="J200" s="208">
        <v>318295180</v>
      </c>
      <c r="K200" s="159" t="s">
        <v>408</v>
      </c>
      <c r="L200" s="204" t="s">
        <v>900</v>
      </c>
      <c r="N200" s="141">
        <f t="shared" si="8"/>
        <v>6</v>
      </c>
    </row>
    <row r="201" spans="1:14" ht="15">
      <c r="A201" s="159"/>
      <c r="B201" s="143" t="str">
        <f t="shared" si="7"/>
        <v>7.</v>
      </c>
      <c r="C201" s="205" t="s">
        <v>879</v>
      </c>
      <c r="D201" s="162"/>
      <c r="E201" s="163"/>
      <c r="F201" s="159"/>
      <c r="G201" s="164"/>
      <c r="H201" s="204" t="s">
        <v>886</v>
      </c>
      <c r="I201" s="207">
        <v>43272</v>
      </c>
      <c r="J201" s="208">
        <v>96200000</v>
      </c>
      <c r="K201" s="159" t="s">
        <v>408</v>
      </c>
      <c r="L201" s="204" t="s">
        <v>901</v>
      </c>
      <c r="N201" s="141">
        <f t="shared" si="8"/>
        <v>7</v>
      </c>
    </row>
    <row r="202" spans="1:14" ht="15">
      <c r="A202" s="159"/>
      <c r="B202" s="143" t="str">
        <f t="shared" si="7"/>
        <v>8.</v>
      </c>
      <c r="C202" s="205" t="s">
        <v>878</v>
      </c>
      <c r="D202" s="162"/>
      <c r="E202" s="163"/>
      <c r="F202" s="159"/>
      <c r="G202" s="164"/>
      <c r="H202" s="204" t="s">
        <v>885</v>
      </c>
      <c r="I202" s="207">
        <v>43401</v>
      </c>
      <c r="J202" s="208">
        <v>179640000</v>
      </c>
      <c r="K202" s="159" t="s">
        <v>408</v>
      </c>
      <c r="L202" s="204" t="s">
        <v>902</v>
      </c>
      <c r="N202" s="141">
        <f t="shared" si="8"/>
        <v>8</v>
      </c>
    </row>
    <row r="203" spans="1:14" ht="15">
      <c r="A203" s="159"/>
      <c r="B203" s="143" t="str">
        <f t="shared" si="7"/>
        <v>9.</v>
      </c>
      <c r="C203" s="205" t="s">
        <v>877</v>
      </c>
      <c r="D203" s="162"/>
      <c r="E203" s="163"/>
      <c r="F203" s="159"/>
      <c r="G203" s="164"/>
      <c r="H203" s="204" t="s">
        <v>884</v>
      </c>
      <c r="I203" s="207">
        <v>43430</v>
      </c>
      <c r="J203" s="208">
        <v>97845000</v>
      </c>
      <c r="K203" s="159" t="s">
        <v>408</v>
      </c>
      <c r="L203" s="204" t="s">
        <v>903</v>
      </c>
      <c r="N203" s="141">
        <f t="shared" si="8"/>
        <v>9</v>
      </c>
    </row>
    <row r="204" spans="1:14" ht="15">
      <c r="A204" s="159"/>
      <c r="B204" s="143" t="str">
        <f t="shared" si="7"/>
        <v>10.</v>
      </c>
      <c r="C204" s="205" t="s">
        <v>880</v>
      </c>
      <c r="D204" s="162"/>
      <c r="E204" s="163"/>
      <c r="F204" s="159"/>
      <c r="G204" s="164"/>
      <c r="H204" s="204" t="s">
        <v>887</v>
      </c>
      <c r="I204" s="207" t="s">
        <v>700</v>
      </c>
      <c r="J204" s="208">
        <v>6378400</v>
      </c>
      <c r="K204" s="159" t="s">
        <v>408</v>
      </c>
      <c r="L204" s="204" t="s">
        <v>899</v>
      </c>
      <c r="N204" s="141">
        <f t="shared" si="8"/>
        <v>10</v>
      </c>
    </row>
    <row r="205" spans="1:14" ht="15">
      <c r="A205" s="159"/>
      <c r="B205" s="143" t="str">
        <f t="shared" si="7"/>
        <v>11.</v>
      </c>
      <c r="C205" s="205" t="s">
        <v>879</v>
      </c>
      <c r="D205" s="162"/>
      <c r="E205" s="163"/>
      <c r="F205" s="159"/>
      <c r="G205" s="164"/>
      <c r="H205" s="204" t="s">
        <v>886</v>
      </c>
      <c r="I205" s="207">
        <v>43782</v>
      </c>
      <c r="J205" s="208">
        <v>104402000</v>
      </c>
      <c r="K205" s="159" t="s">
        <v>408</v>
      </c>
      <c r="L205" s="204" t="s">
        <v>904</v>
      </c>
      <c r="N205" s="141">
        <f t="shared" si="8"/>
        <v>11</v>
      </c>
    </row>
    <row r="206" spans="1:14" ht="15">
      <c r="A206" s="159"/>
      <c r="B206" s="143" t="str">
        <f t="shared" si="7"/>
        <v>12.</v>
      </c>
      <c r="C206" s="205" t="s">
        <v>877</v>
      </c>
      <c r="D206" s="162"/>
      <c r="E206" s="163"/>
      <c r="F206" s="159"/>
      <c r="G206" s="164"/>
      <c r="H206" s="204" t="s">
        <v>884</v>
      </c>
      <c r="I206" s="207">
        <v>43640</v>
      </c>
      <c r="J206" s="208">
        <v>83092500</v>
      </c>
      <c r="K206" s="159" t="s">
        <v>408</v>
      </c>
      <c r="L206" s="204" t="s">
        <v>905</v>
      </c>
      <c r="N206" s="141">
        <f t="shared" si="8"/>
        <v>12</v>
      </c>
    </row>
    <row r="207" spans="1:14" ht="15">
      <c r="A207" s="159"/>
      <c r="B207" s="143" t="str">
        <f t="shared" si="7"/>
        <v>13.</v>
      </c>
      <c r="C207" s="205" t="s">
        <v>879</v>
      </c>
      <c r="D207" s="162"/>
      <c r="E207" s="163"/>
      <c r="F207" s="159"/>
      <c r="G207" s="164"/>
      <c r="H207" s="204" t="s">
        <v>886</v>
      </c>
      <c r="I207" s="207">
        <v>43640</v>
      </c>
      <c r="J207" s="208">
        <v>103424000</v>
      </c>
      <c r="K207" s="159" t="s">
        <v>408</v>
      </c>
      <c r="L207" s="204" t="s">
        <v>906</v>
      </c>
      <c r="N207" s="141">
        <f t="shared" si="8"/>
        <v>13</v>
      </c>
    </row>
    <row r="208" spans="1:14" ht="15">
      <c r="A208" s="159"/>
      <c r="B208" s="143" t="str">
        <f t="shared" si="7"/>
        <v>14.</v>
      </c>
      <c r="C208" s="205" t="s">
        <v>878</v>
      </c>
      <c r="D208" s="162"/>
      <c r="E208" s="163"/>
      <c r="F208" s="159"/>
      <c r="G208" s="164"/>
      <c r="H208" s="204" t="s">
        <v>885</v>
      </c>
      <c r="I208" s="207">
        <v>43697</v>
      </c>
      <c r="J208" s="208">
        <v>141242000</v>
      </c>
      <c r="K208" s="159" t="s">
        <v>408</v>
      </c>
      <c r="L208" s="204" t="s">
        <v>907</v>
      </c>
      <c r="N208" s="141">
        <f t="shared" si="8"/>
        <v>14</v>
      </c>
    </row>
    <row r="209" spans="1:14" ht="15">
      <c r="A209" s="159"/>
      <c r="B209" s="143" t="str">
        <f t="shared" si="7"/>
        <v>15.</v>
      </c>
      <c r="C209" s="205" t="s">
        <v>878</v>
      </c>
      <c r="D209" s="162"/>
      <c r="E209" s="163"/>
      <c r="F209" s="159"/>
      <c r="G209" s="164"/>
      <c r="H209" s="204" t="s">
        <v>885</v>
      </c>
      <c r="I209" s="207">
        <v>43678</v>
      </c>
      <c r="J209" s="208">
        <v>88510000</v>
      </c>
      <c r="K209" s="159" t="s">
        <v>408</v>
      </c>
      <c r="L209" s="204" t="s">
        <v>908</v>
      </c>
      <c r="N209" s="141">
        <f t="shared" si="8"/>
        <v>15</v>
      </c>
    </row>
    <row r="210" spans="1:14" ht="15">
      <c r="A210" s="159"/>
      <c r="B210" s="143" t="str">
        <f t="shared" si="7"/>
        <v>16.</v>
      </c>
      <c r="C210" s="205" t="s">
        <v>881</v>
      </c>
      <c r="D210" s="162"/>
      <c r="E210" s="163"/>
      <c r="F210" s="159"/>
      <c r="G210" s="164"/>
      <c r="H210" s="204" t="s">
        <v>888</v>
      </c>
      <c r="I210" s="207">
        <v>43731</v>
      </c>
      <c r="J210" s="208">
        <v>29423656</v>
      </c>
      <c r="K210" s="159" t="s">
        <v>408</v>
      </c>
      <c r="L210" s="204" t="s">
        <v>909</v>
      </c>
      <c r="N210" s="141">
        <f t="shared" si="8"/>
        <v>16</v>
      </c>
    </row>
    <row r="211" spans="1:14" ht="15">
      <c r="A211" s="159"/>
      <c r="B211" s="143" t="str">
        <f t="shared" si="7"/>
        <v>17.</v>
      </c>
      <c r="C211" s="205" t="s">
        <v>881</v>
      </c>
      <c r="D211" s="162"/>
      <c r="E211" s="163"/>
      <c r="F211" s="159"/>
      <c r="G211" s="164"/>
      <c r="H211" s="204" t="s">
        <v>888</v>
      </c>
      <c r="I211" s="207">
        <v>43731</v>
      </c>
      <c r="J211" s="208">
        <v>31251212</v>
      </c>
      <c r="K211" s="159" t="s">
        <v>408</v>
      </c>
      <c r="L211" s="204" t="s">
        <v>910</v>
      </c>
      <c r="N211" s="141">
        <f t="shared" si="8"/>
        <v>17</v>
      </c>
    </row>
    <row r="212" spans="1:14" ht="15">
      <c r="A212" s="159"/>
      <c r="B212" s="143" t="str">
        <f t="shared" si="7"/>
        <v>18.</v>
      </c>
      <c r="C212" s="205" t="s">
        <v>881</v>
      </c>
      <c r="D212" s="162"/>
      <c r="E212" s="163"/>
      <c r="F212" s="159"/>
      <c r="G212" s="164"/>
      <c r="H212" s="204" t="s">
        <v>888</v>
      </c>
      <c r="I212" s="207">
        <v>43731</v>
      </c>
      <c r="J212" s="208">
        <v>10782582</v>
      </c>
      <c r="K212" s="159" t="s">
        <v>408</v>
      </c>
      <c r="L212" s="204" t="s">
        <v>896</v>
      </c>
      <c r="N212" s="141">
        <f t="shared" si="8"/>
        <v>18</v>
      </c>
    </row>
    <row r="213" spans="1:14" ht="15">
      <c r="A213" s="159"/>
      <c r="B213" s="143" t="str">
        <f t="shared" si="7"/>
        <v>19.</v>
      </c>
      <c r="C213" s="205" t="s">
        <v>880</v>
      </c>
      <c r="D213" s="162"/>
      <c r="E213" s="163"/>
      <c r="F213" s="159"/>
      <c r="G213" s="164"/>
      <c r="H213" s="204" t="s">
        <v>887</v>
      </c>
      <c r="I213" s="207" t="s">
        <v>894</v>
      </c>
      <c r="J213" s="208">
        <v>11520000</v>
      </c>
      <c r="K213" s="210" t="s">
        <v>407</v>
      </c>
      <c r="L213" s="204" t="s">
        <v>911</v>
      </c>
      <c r="N213" s="141">
        <f t="shared" si="8"/>
        <v>19</v>
      </c>
    </row>
    <row r="214" spans="1:14" ht="15">
      <c r="A214" s="159"/>
      <c r="B214" s="143" t="str">
        <f t="shared" si="7"/>
        <v>20.</v>
      </c>
      <c r="C214" s="205" t="s">
        <v>880</v>
      </c>
      <c r="D214" s="162"/>
      <c r="E214" s="163"/>
      <c r="F214" s="159"/>
      <c r="G214" s="164"/>
      <c r="H214" s="204" t="s">
        <v>887</v>
      </c>
      <c r="I214" s="207" t="s">
        <v>894</v>
      </c>
      <c r="J214" s="208">
        <v>11520000</v>
      </c>
      <c r="K214" s="210" t="s">
        <v>407</v>
      </c>
      <c r="L214" s="204" t="s">
        <v>912</v>
      </c>
      <c r="N214" s="141">
        <f t="shared" si="8"/>
        <v>20</v>
      </c>
    </row>
    <row r="215" spans="1:14" ht="15">
      <c r="A215" s="159"/>
      <c r="B215" s="143" t="str">
        <f t="shared" si="7"/>
        <v>21.</v>
      </c>
      <c r="C215" s="205" t="s">
        <v>877</v>
      </c>
      <c r="D215" s="162"/>
      <c r="E215" s="163"/>
      <c r="F215" s="159"/>
      <c r="G215" s="164"/>
      <c r="H215" s="204" t="s">
        <v>884</v>
      </c>
      <c r="I215" s="207">
        <v>43986</v>
      </c>
      <c r="J215" s="208">
        <v>206002000</v>
      </c>
      <c r="K215" s="159" t="s">
        <v>408</v>
      </c>
      <c r="L215" s="204" t="s">
        <v>913</v>
      </c>
      <c r="N215" s="141">
        <f t="shared" si="8"/>
        <v>21</v>
      </c>
    </row>
    <row r="216" spans="1:14" ht="15">
      <c r="A216" s="159"/>
      <c r="B216" s="143" t="str">
        <f t="shared" si="7"/>
        <v>22.</v>
      </c>
      <c r="C216" s="205" t="s">
        <v>878</v>
      </c>
      <c r="D216" s="162"/>
      <c r="E216" s="163"/>
      <c r="F216" s="159"/>
      <c r="G216" s="164"/>
      <c r="H216" s="204" t="s">
        <v>885</v>
      </c>
      <c r="I216" s="207">
        <v>44421</v>
      </c>
      <c r="J216" s="208">
        <v>191132000</v>
      </c>
      <c r="K216" s="159" t="s">
        <v>408</v>
      </c>
      <c r="L216" s="204" t="s">
        <v>904</v>
      </c>
      <c r="N216" s="141">
        <f t="shared" si="8"/>
        <v>22</v>
      </c>
    </row>
    <row r="217" spans="1:14" ht="15">
      <c r="A217" s="159"/>
      <c r="B217" s="143" t="str">
        <f t="shared" si="7"/>
        <v>23.</v>
      </c>
      <c r="C217" s="205" t="s">
        <v>881</v>
      </c>
      <c r="D217" s="162"/>
      <c r="E217" s="163"/>
      <c r="F217" s="159"/>
      <c r="G217" s="164"/>
      <c r="H217" s="204" t="s">
        <v>888</v>
      </c>
      <c r="I217" s="207">
        <v>44715</v>
      </c>
      <c r="J217" s="208">
        <v>53380000</v>
      </c>
      <c r="K217" s="159" t="s">
        <v>408</v>
      </c>
      <c r="L217" s="204" t="s">
        <v>914</v>
      </c>
      <c r="N217" s="141">
        <f t="shared" si="8"/>
        <v>23</v>
      </c>
    </row>
    <row r="218" spans="1:14" ht="15">
      <c r="A218" s="159"/>
      <c r="B218" s="143" t="str">
        <f t="shared" si="7"/>
        <v>24.</v>
      </c>
      <c r="C218" s="205" t="s">
        <v>881</v>
      </c>
      <c r="D218" s="162"/>
      <c r="E218" s="163"/>
      <c r="F218" s="159"/>
      <c r="G218" s="164"/>
      <c r="H218" s="204" t="s">
        <v>888</v>
      </c>
      <c r="I218" s="207">
        <v>44867</v>
      </c>
      <c r="J218" s="208">
        <v>97456500</v>
      </c>
      <c r="K218" s="159" t="s">
        <v>408</v>
      </c>
      <c r="L218" s="204" t="s">
        <v>895</v>
      </c>
      <c r="N218" s="141">
        <f t="shared" si="8"/>
        <v>24</v>
      </c>
    </row>
    <row r="219" spans="1:14" ht="15">
      <c r="A219" s="159"/>
      <c r="B219" s="143" t="str">
        <f t="shared" si="7"/>
        <v>25.</v>
      </c>
      <c r="C219" s="205" t="s">
        <v>881</v>
      </c>
      <c r="D219" s="162"/>
      <c r="E219" s="163"/>
      <c r="F219" s="159"/>
      <c r="G219" s="164"/>
      <c r="H219" s="204" t="s">
        <v>888</v>
      </c>
      <c r="I219" s="207">
        <v>44869</v>
      </c>
      <c r="J219" s="208">
        <v>97456500</v>
      </c>
      <c r="K219" s="159" t="s">
        <v>408</v>
      </c>
      <c r="L219" s="204" t="s">
        <v>915</v>
      </c>
      <c r="N219" s="141">
        <f t="shared" si="8"/>
        <v>25</v>
      </c>
    </row>
    <row r="220" spans="1:14" ht="15">
      <c r="A220" s="159"/>
      <c r="B220" s="143" t="str">
        <f t="shared" si="7"/>
        <v>26.</v>
      </c>
      <c r="C220" s="205" t="s">
        <v>878</v>
      </c>
      <c r="D220" s="162"/>
      <c r="E220" s="163"/>
      <c r="F220" s="159"/>
      <c r="G220" s="164"/>
      <c r="H220" s="204" t="s">
        <v>885</v>
      </c>
      <c r="I220" s="207">
        <v>44977</v>
      </c>
      <c r="J220" s="208">
        <f>70389700+53363000</f>
        <v>123752700</v>
      </c>
      <c r="K220" s="159" t="s">
        <v>408</v>
      </c>
      <c r="L220" s="204" t="s">
        <v>916</v>
      </c>
      <c r="N220" s="141">
        <f t="shared" si="8"/>
        <v>26</v>
      </c>
    </row>
    <row r="221" spans="1:14" ht="15">
      <c r="A221" s="159"/>
      <c r="B221" s="143" t="str">
        <f t="shared" si="7"/>
        <v>27.</v>
      </c>
      <c r="C221" s="205" t="s">
        <v>879</v>
      </c>
      <c r="D221" s="162"/>
      <c r="E221" s="163"/>
      <c r="F221" s="159"/>
      <c r="G221" s="164"/>
      <c r="H221" s="204" t="s">
        <v>886</v>
      </c>
      <c r="I221" s="207">
        <v>45001</v>
      </c>
      <c r="J221" s="208">
        <v>27769500</v>
      </c>
      <c r="K221" s="159" t="s">
        <v>408</v>
      </c>
      <c r="L221" s="204" t="s">
        <v>917</v>
      </c>
      <c r="N221" s="141">
        <f t="shared" si="8"/>
        <v>27</v>
      </c>
    </row>
    <row r="222" spans="1:14" ht="15">
      <c r="A222" s="159"/>
      <c r="B222" s="143" t="str">
        <f t="shared" si="7"/>
        <v>28.</v>
      </c>
      <c r="C222" s="205" t="s">
        <v>879</v>
      </c>
      <c r="D222" s="162"/>
      <c r="E222" s="163"/>
      <c r="F222" s="159"/>
      <c r="G222" s="164"/>
      <c r="H222" s="204" t="s">
        <v>886</v>
      </c>
      <c r="I222" s="207">
        <v>45001</v>
      </c>
      <c r="J222" s="208">
        <v>27724500</v>
      </c>
      <c r="K222" s="159" t="s">
        <v>408</v>
      </c>
      <c r="L222" s="204" t="s">
        <v>918</v>
      </c>
      <c r="N222" s="141">
        <f t="shared" si="8"/>
        <v>28</v>
      </c>
    </row>
    <row r="223" spans="1:14" ht="15">
      <c r="A223" s="159"/>
      <c r="B223" s="143" t="str">
        <f t="shared" si="7"/>
        <v>29.</v>
      </c>
      <c r="C223" s="205" t="s">
        <v>879</v>
      </c>
      <c r="D223" s="162"/>
      <c r="E223" s="163"/>
      <c r="F223" s="159"/>
      <c r="G223" s="164"/>
      <c r="H223" s="204" t="s">
        <v>886</v>
      </c>
      <c r="I223" s="207">
        <v>45001</v>
      </c>
      <c r="J223" s="208">
        <v>27695000</v>
      </c>
      <c r="K223" s="159" t="s">
        <v>408</v>
      </c>
      <c r="L223" s="204" t="s">
        <v>919</v>
      </c>
      <c r="N223" s="141">
        <f t="shared" si="8"/>
        <v>29</v>
      </c>
    </row>
    <row r="224" spans="1:14" ht="15">
      <c r="A224" s="159"/>
      <c r="B224" s="143" t="str">
        <f t="shared" si="7"/>
        <v>30.</v>
      </c>
      <c r="C224" s="205" t="s">
        <v>881</v>
      </c>
      <c r="D224" s="162"/>
      <c r="E224" s="163"/>
      <c r="F224" s="159"/>
      <c r="G224" s="164"/>
      <c r="H224" s="204" t="s">
        <v>888</v>
      </c>
      <c r="I224" s="207">
        <v>45026</v>
      </c>
      <c r="J224" s="208">
        <v>45578500</v>
      </c>
      <c r="K224" s="159" t="s">
        <v>408</v>
      </c>
      <c r="L224" s="204" t="s">
        <v>920</v>
      </c>
      <c r="N224" s="141">
        <f t="shared" si="8"/>
        <v>30</v>
      </c>
    </row>
    <row r="225" spans="1:14" ht="15">
      <c r="A225" s="159"/>
      <c r="B225" s="143" t="str">
        <f t="shared" si="7"/>
        <v>31.</v>
      </c>
      <c r="C225" s="205" t="s">
        <v>881</v>
      </c>
      <c r="D225" s="162"/>
      <c r="E225" s="163"/>
      <c r="F225" s="159"/>
      <c r="G225" s="164"/>
      <c r="H225" s="204" t="s">
        <v>888</v>
      </c>
      <c r="I225" s="207">
        <v>45026</v>
      </c>
      <c r="J225" s="208">
        <v>30516500</v>
      </c>
      <c r="K225" s="159" t="s">
        <v>408</v>
      </c>
      <c r="L225" s="204" t="s">
        <v>921</v>
      </c>
      <c r="N225" s="141">
        <f t="shared" si="8"/>
        <v>31</v>
      </c>
    </row>
    <row r="226" spans="1:14" ht="15">
      <c r="A226" s="159"/>
      <c r="B226" s="143" t="str">
        <f t="shared" si="7"/>
        <v>32.</v>
      </c>
      <c r="C226" s="205" t="s">
        <v>881</v>
      </c>
      <c r="D226" s="162"/>
      <c r="E226" s="163"/>
      <c r="F226" s="159"/>
      <c r="G226" s="164"/>
      <c r="H226" s="204" t="s">
        <v>888</v>
      </c>
      <c r="I226" s="207">
        <v>45026</v>
      </c>
      <c r="J226" s="208">
        <v>56515500</v>
      </c>
      <c r="K226" s="159" t="s">
        <v>408</v>
      </c>
      <c r="L226" s="204" t="s">
        <v>922</v>
      </c>
      <c r="N226" s="141">
        <f t="shared" si="8"/>
        <v>32</v>
      </c>
    </row>
    <row r="227" spans="1:14" ht="15">
      <c r="A227" s="159"/>
      <c r="B227" s="143" t="str">
        <f t="shared" si="7"/>
        <v>33.</v>
      </c>
      <c r="C227" s="205" t="s">
        <v>881</v>
      </c>
      <c r="D227" s="162"/>
      <c r="E227" s="163"/>
      <c r="F227" s="159"/>
      <c r="G227" s="164"/>
      <c r="H227" s="204" t="s">
        <v>888</v>
      </c>
      <c r="I227" s="207">
        <v>45026</v>
      </c>
      <c r="J227" s="208">
        <v>39381500</v>
      </c>
      <c r="K227" s="159" t="s">
        <v>408</v>
      </c>
      <c r="L227" s="204" t="s">
        <v>923</v>
      </c>
      <c r="N227" s="141">
        <f t="shared" si="8"/>
        <v>33</v>
      </c>
    </row>
    <row r="228" spans="1:14" ht="15">
      <c r="A228" s="159"/>
      <c r="B228" s="143" t="str">
        <f t="shared" si="7"/>
        <v>34.</v>
      </c>
      <c r="C228" s="205" t="s">
        <v>881</v>
      </c>
      <c r="D228" s="162"/>
      <c r="E228" s="163"/>
      <c r="F228" s="159"/>
      <c r="G228" s="164"/>
      <c r="H228" s="204" t="s">
        <v>888</v>
      </c>
      <c r="I228" s="207">
        <v>45026</v>
      </c>
      <c r="J228" s="208">
        <v>49218500</v>
      </c>
      <c r="K228" s="159" t="s">
        <v>408</v>
      </c>
      <c r="L228" s="204" t="s">
        <v>924</v>
      </c>
      <c r="N228" s="141">
        <f t="shared" si="8"/>
        <v>34</v>
      </c>
    </row>
    <row r="229" spans="1:14" ht="15">
      <c r="A229" s="159"/>
      <c r="B229" s="143" t="str">
        <f t="shared" si="7"/>
        <v>35.</v>
      </c>
      <c r="C229" s="205" t="s">
        <v>879</v>
      </c>
      <c r="D229" s="162"/>
      <c r="E229" s="163"/>
      <c r="F229" s="159"/>
      <c r="G229" s="164"/>
      <c r="H229" s="204" t="s">
        <v>886</v>
      </c>
      <c r="I229" s="207">
        <v>45148</v>
      </c>
      <c r="J229" s="208">
        <v>87199000</v>
      </c>
      <c r="K229" s="159" t="s">
        <v>408</v>
      </c>
      <c r="L229" s="204" t="s">
        <v>920</v>
      </c>
      <c r="N229" s="141">
        <f t="shared" si="8"/>
        <v>35</v>
      </c>
    </row>
    <row r="230" spans="1:14" ht="15">
      <c r="A230" s="159"/>
      <c r="B230" s="143" t="str">
        <f t="shared" si="7"/>
        <v>36.</v>
      </c>
      <c r="C230" s="205" t="s">
        <v>878</v>
      </c>
      <c r="D230" s="162"/>
      <c r="E230" s="163"/>
      <c r="F230" s="159"/>
      <c r="G230" s="164"/>
      <c r="H230" s="204" t="s">
        <v>885</v>
      </c>
      <c r="I230" s="207">
        <v>45159</v>
      </c>
      <c r="J230" s="208">
        <v>30152750</v>
      </c>
      <c r="K230" s="159" t="s">
        <v>408</v>
      </c>
      <c r="L230" s="204" t="s">
        <v>904</v>
      </c>
      <c r="N230" s="141">
        <f t="shared" si="8"/>
        <v>36</v>
      </c>
    </row>
    <row r="231" spans="1:14" ht="15">
      <c r="A231" s="159"/>
      <c r="B231" s="143" t="str">
        <f t="shared" si="7"/>
        <v>37.</v>
      </c>
      <c r="C231" s="205" t="s">
        <v>878</v>
      </c>
      <c r="D231" s="162"/>
      <c r="E231" s="163"/>
      <c r="F231" s="159"/>
      <c r="G231" s="164"/>
      <c r="H231" s="204" t="s">
        <v>885</v>
      </c>
      <c r="I231" s="207">
        <v>45159</v>
      </c>
      <c r="J231" s="208">
        <v>74215500</v>
      </c>
      <c r="K231" s="159" t="s">
        <v>408</v>
      </c>
      <c r="L231" s="204" t="s">
        <v>898</v>
      </c>
      <c r="N231" s="141">
        <f t="shared" si="8"/>
        <v>37</v>
      </c>
    </row>
    <row r="232" spans="1:14" ht="15">
      <c r="A232" s="159"/>
      <c r="B232" s="143" t="str">
        <f t="shared" si="7"/>
        <v>38.</v>
      </c>
      <c r="C232" s="205" t="s">
        <v>881</v>
      </c>
      <c r="D232" s="162"/>
      <c r="E232" s="163"/>
      <c r="F232" s="159"/>
      <c r="G232" s="164"/>
      <c r="H232" s="204" t="s">
        <v>888</v>
      </c>
      <c r="I232" s="207">
        <v>45266</v>
      </c>
      <c r="J232" s="208">
        <v>79300000</v>
      </c>
      <c r="K232" s="159" t="s">
        <v>408</v>
      </c>
      <c r="L232" s="204" t="s">
        <v>925</v>
      </c>
      <c r="N232" s="141">
        <f t="shared" si="8"/>
        <v>38</v>
      </c>
    </row>
    <row r="233" spans="1:14" ht="15">
      <c r="A233" s="159"/>
      <c r="B233" s="143" t="str">
        <f t="shared" si="7"/>
        <v>39.</v>
      </c>
      <c r="C233" s="205" t="s">
        <v>881</v>
      </c>
      <c r="D233" s="162"/>
      <c r="E233" s="163"/>
      <c r="F233" s="159"/>
      <c r="G233" s="164"/>
      <c r="H233" s="204" t="s">
        <v>888</v>
      </c>
      <c r="I233" s="207">
        <v>45266</v>
      </c>
      <c r="J233" s="208">
        <v>99237000</v>
      </c>
      <c r="K233" s="159" t="s">
        <v>408</v>
      </c>
      <c r="L233" s="204" t="s">
        <v>926</v>
      </c>
      <c r="N233" s="141">
        <f t="shared" si="8"/>
        <v>39</v>
      </c>
    </row>
    <row r="234" spans="1:14" ht="15">
      <c r="A234" s="159"/>
      <c r="B234" s="143" t="str">
        <f t="shared" si="7"/>
        <v>40.</v>
      </c>
      <c r="C234" s="205" t="s">
        <v>881</v>
      </c>
      <c r="D234" s="162"/>
      <c r="E234" s="163"/>
      <c r="F234" s="159"/>
      <c r="G234" s="164"/>
      <c r="H234" s="204" t="s">
        <v>888</v>
      </c>
      <c r="I234" s="207">
        <v>45266</v>
      </c>
      <c r="J234" s="208">
        <v>79799000</v>
      </c>
      <c r="K234" s="159" t="s">
        <v>408</v>
      </c>
      <c r="L234" s="204" t="s">
        <v>906</v>
      </c>
      <c r="N234" s="141">
        <f t="shared" si="8"/>
        <v>40</v>
      </c>
    </row>
    <row r="235" spans="1:14" ht="15">
      <c r="A235" s="159"/>
      <c r="B235" s="143" t="str">
        <f t="shared" si="7"/>
        <v>41.</v>
      </c>
      <c r="C235" s="205" t="s">
        <v>881</v>
      </c>
      <c r="D235" s="162"/>
      <c r="E235" s="163"/>
      <c r="F235" s="159"/>
      <c r="G235" s="164"/>
      <c r="H235" s="204" t="s">
        <v>888</v>
      </c>
      <c r="I235" s="207">
        <v>45266</v>
      </c>
      <c r="J235" s="208">
        <v>79799000</v>
      </c>
      <c r="K235" s="159" t="s">
        <v>408</v>
      </c>
      <c r="L235" s="204" t="s">
        <v>927</v>
      </c>
      <c r="N235" s="141">
        <f t="shared" si="8"/>
        <v>41</v>
      </c>
    </row>
    <row r="236" spans="1:14" ht="15">
      <c r="A236" s="159"/>
      <c r="B236" s="143" t="str">
        <f t="shared" si="7"/>
        <v>42.</v>
      </c>
      <c r="C236" s="205" t="s">
        <v>881</v>
      </c>
      <c r="D236" s="162"/>
      <c r="E236" s="163"/>
      <c r="F236" s="159"/>
      <c r="G236" s="164"/>
      <c r="H236" s="204" t="s">
        <v>888</v>
      </c>
      <c r="I236" s="207">
        <v>45257</v>
      </c>
      <c r="J236" s="208">
        <v>79614000</v>
      </c>
      <c r="K236" s="159" t="s">
        <v>408</v>
      </c>
      <c r="L236" s="204" t="s">
        <v>928</v>
      </c>
      <c r="N236" s="141">
        <f t="shared" si="8"/>
        <v>42</v>
      </c>
    </row>
    <row r="237" spans="1:14" ht="15">
      <c r="A237" s="159"/>
      <c r="B237" s="143" t="str">
        <f t="shared" si="7"/>
        <v>43.</v>
      </c>
      <c r="C237" s="205" t="s">
        <v>882</v>
      </c>
      <c r="D237" s="162"/>
      <c r="E237" s="163"/>
      <c r="F237" s="159"/>
      <c r="G237" s="164"/>
      <c r="H237" s="204" t="s">
        <v>889</v>
      </c>
      <c r="I237" s="207">
        <v>45478</v>
      </c>
      <c r="J237" s="208">
        <v>2865700</v>
      </c>
      <c r="K237" s="159" t="s">
        <v>408</v>
      </c>
      <c r="L237" s="204" t="s">
        <v>929</v>
      </c>
      <c r="N237" s="141">
        <f t="shared" si="8"/>
        <v>43</v>
      </c>
    </row>
    <row r="238" spans="1:14" ht="15">
      <c r="A238" s="159"/>
      <c r="B238" s="143" t="str">
        <f t="shared" si="7"/>
        <v>44.</v>
      </c>
      <c r="C238" s="205" t="s">
        <v>881</v>
      </c>
      <c r="D238" s="162"/>
      <c r="E238" s="163"/>
      <c r="F238" s="159"/>
      <c r="G238" s="164"/>
      <c r="H238" s="204" t="s">
        <v>888</v>
      </c>
      <c r="I238" s="207">
        <v>45616</v>
      </c>
      <c r="J238" s="208">
        <v>36551000</v>
      </c>
      <c r="K238" s="159" t="s">
        <v>408</v>
      </c>
      <c r="L238" s="204" t="s">
        <v>921</v>
      </c>
      <c r="N238" s="141">
        <f t="shared" si="8"/>
        <v>44</v>
      </c>
    </row>
    <row r="239" spans="1:14" ht="15">
      <c r="A239" s="159"/>
      <c r="B239" s="143" t="str">
        <f t="shared" si="7"/>
        <v>45.</v>
      </c>
      <c r="C239" s="205" t="s">
        <v>881</v>
      </c>
      <c r="D239" s="162"/>
      <c r="E239" s="163"/>
      <c r="F239" s="159"/>
      <c r="G239" s="164"/>
      <c r="H239" s="204" t="s">
        <v>888</v>
      </c>
      <c r="I239" s="207">
        <v>45616</v>
      </c>
      <c r="J239" s="208">
        <v>114301000</v>
      </c>
      <c r="K239" s="159" t="s">
        <v>408</v>
      </c>
      <c r="L239" s="204" t="s">
        <v>904</v>
      </c>
      <c r="N239" s="141">
        <f t="shared" si="8"/>
        <v>45</v>
      </c>
    </row>
    <row r="240" spans="1:14" ht="15">
      <c r="A240" s="159"/>
      <c r="B240" s="143" t="str">
        <f t="shared" si="7"/>
        <v>46.</v>
      </c>
      <c r="C240" s="205" t="s">
        <v>881</v>
      </c>
      <c r="D240" s="162"/>
      <c r="E240" s="163"/>
      <c r="F240" s="159"/>
      <c r="G240" s="164"/>
      <c r="H240" s="204" t="s">
        <v>888</v>
      </c>
      <c r="I240" s="207">
        <v>45616</v>
      </c>
      <c r="J240" s="208">
        <v>54997000</v>
      </c>
      <c r="K240" s="159" t="s">
        <v>408</v>
      </c>
      <c r="L240" s="204" t="s">
        <v>930</v>
      </c>
      <c r="N240" s="141">
        <f t="shared" si="8"/>
        <v>46</v>
      </c>
    </row>
    <row r="241" spans="1:14" ht="15">
      <c r="A241" s="159"/>
      <c r="B241" s="143" t="str">
        <f t="shared" si="7"/>
        <v>47.</v>
      </c>
      <c r="C241" s="205" t="s">
        <v>881</v>
      </c>
      <c r="D241" s="162"/>
      <c r="E241" s="163"/>
      <c r="F241" s="159"/>
      <c r="G241" s="164"/>
      <c r="H241" s="204" t="s">
        <v>888</v>
      </c>
      <c r="I241" s="207">
        <v>45616</v>
      </c>
      <c r="J241" s="208">
        <v>87852000</v>
      </c>
      <c r="K241" s="159" t="s">
        <v>408</v>
      </c>
      <c r="L241" s="204" t="s">
        <v>931</v>
      </c>
      <c r="N241" s="141">
        <f t="shared" si="8"/>
        <v>47</v>
      </c>
    </row>
    <row r="242" spans="1:14" ht="15">
      <c r="A242" s="159"/>
      <c r="B242" s="143" t="str">
        <f t="shared" si="7"/>
        <v>48.</v>
      </c>
      <c r="C242" s="205" t="s">
        <v>881</v>
      </c>
      <c r="D242" s="162"/>
      <c r="E242" s="163"/>
      <c r="F242" s="159"/>
      <c r="G242" s="164"/>
      <c r="H242" s="204" t="s">
        <v>888</v>
      </c>
      <c r="I242" s="207">
        <v>45583</v>
      </c>
      <c r="J242" s="208">
        <v>14992000</v>
      </c>
      <c r="K242" s="159" t="s">
        <v>408</v>
      </c>
      <c r="L242" s="204" t="s">
        <v>932</v>
      </c>
      <c r="N242" s="141">
        <f t="shared" si="8"/>
        <v>48</v>
      </c>
    </row>
    <row r="243" spans="1:14" ht="30">
      <c r="A243" s="159"/>
      <c r="B243" s="143" t="str">
        <f t="shared" si="7"/>
        <v>49.</v>
      </c>
      <c r="C243" s="205" t="s">
        <v>879</v>
      </c>
      <c r="D243" s="162"/>
      <c r="E243" s="163"/>
      <c r="F243" s="554" t="s">
        <v>1784</v>
      </c>
      <c r="G243" s="552">
        <v>45596</v>
      </c>
      <c r="H243" s="204" t="s">
        <v>886</v>
      </c>
      <c r="I243" s="207">
        <v>45596</v>
      </c>
      <c r="J243" s="208">
        <v>96680000</v>
      </c>
      <c r="K243" s="159" t="s">
        <v>408</v>
      </c>
      <c r="L243" s="204" t="s">
        <v>903</v>
      </c>
      <c r="N243" s="141">
        <f t="shared" si="8"/>
        <v>49</v>
      </c>
    </row>
    <row r="244" spans="1:14" ht="30">
      <c r="A244" s="159"/>
      <c r="B244" s="143" t="str">
        <f t="shared" si="7"/>
        <v>50.</v>
      </c>
      <c r="C244" s="205" t="s">
        <v>879</v>
      </c>
      <c r="D244" s="162"/>
      <c r="E244" s="163"/>
      <c r="F244" s="554" t="s">
        <v>1785</v>
      </c>
      <c r="G244" s="552">
        <v>45596</v>
      </c>
      <c r="H244" s="204" t="s">
        <v>886</v>
      </c>
      <c r="I244" s="207">
        <v>45596</v>
      </c>
      <c r="J244" s="208">
        <v>46346000</v>
      </c>
      <c r="K244" s="159" t="s">
        <v>408</v>
      </c>
      <c r="L244" s="204" t="s">
        <v>933</v>
      </c>
      <c r="N244" s="141">
        <f t="shared" si="8"/>
        <v>50</v>
      </c>
    </row>
    <row r="245" spans="1:14" ht="30">
      <c r="A245" s="159"/>
      <c r="B245" s="143" t="str">
        <f t="shared" si="7"/>
        <v>51.</v>
      </c>
      <c r="C245" s="205" t="s">
        <v>879</v>
      </c>
      <c r="D245" s="162"/>
      <c r="E245" s="163"/>
      <c r="F245" s="554" t="s">
        <v>1786</v>
      </c>
      <c r="G245" s="552">
        <v>45596</v>
      </c>
      <c r="H245" s="204" t="s">
        <v>886</v>
      </c>
      <c r="I245" s="207">
        <v>45596</v>
      </c>
      <c r="J245" s="208">
        <v>19659000</v>
      </c>
      <c r="K245" s="159" t="s">
        <v>408</v>
      </c>
      <c r="L245" s="204" t="s">
        <v>934</v>
      </c>
      <c r="N245" s="141">
        <f t="shared" si="8"/>
        <v>51</v>
      </c>
    </row>
    <row r="246" spans="1:14" ht="30">
      <c r="A246" s="159"/>
      <c r="B246" s="143" t="str">
        <f t="shared" si="7"/>
        <v>52.</v>
      </c>
      <c r="C246" s="205" t="s">
        <v>879</v>
      </c>
      <c r="D246" s="162"/>
      <c r="E246" s="163"/>
      <c r="F246" s="554" t="s">
        <v>1787</v>
      </c>
      <c r="G246" s="552">
        <v>45596</v>
      </c>
      <c r="H246" s="204" t="s">
        <v>886</v>
      </c>
      <c r="I246" s="207">
        <v>45596</v>
      </c>
      <c r="J246" s="208">
        <v>14631000</v>
      </c>
      <c r="K246" s="159" t="s">
        <v>408</v>
      </c>
      <c r="L246" s="204" t="s">
        <v>905</v>
      </c>
      <c r="N246" s="141">
        <f t="shared" si="8"/>
        <v>52</v>
      </c>
    </row>
    <row r="247" spans="1:14" ht="30">
      <c r="A247" s="159"/>
      <c r="B247" s="143" t="str">
        <f t="shared" si="7"/>
        <v>53.</v>
      </c>
      <c r="C247" s="205" t="s">
        <v>879</v>
      </c>
      <c r="D247" s="162"/>
      <c r="E247" s="163"/>
      <c r="F247" s="554" t="s">
        <v>1788</v>
      </c>
      <c r="G247" s="552">
        <v>45596</v>
      </c>
      <c r="H247" s="204" t="s">
        <v>886</v>
      </c>
      <c r="I247" s="207">
        <v>45596</v>
      </c>
      <c r="J247" s="208">
        <v>17906000</v>
      </c>
      <c r="K247" s="159" t="s">
        <v>408</v>
      </c>
      <c r="L247" s="204" t="s">
        <v>935</v>
      </c>
      <c r="N247" s="141">
        <f t="shared" si="8"/>
        <v>53</v>
      </c>
    </row>
    <row r="248" spans="1:14" ht="15">
      <c r="A248" s="159"/>
      <c r="B248" s="143" t="str">
        <f t="shared" si="7"/>
        <v>54.</v>
      </c>
      <c r="C248" s="205" t="s">
        <v>877</v>
      </c>
      <c r="D248" s="162"/>
      <c r="E248" s="163"/>
      <c r="F248" s="159"/>
      <c r="G248" s="164"/>
      <c r="H248" s="204" t="s">
        <v>884</v>
      </c>
      <c r="I248" s="207">
        <v>45596</v>
      </c>
      <c r="J248" s="208">
        <v>14860000</v>
      </c>
      <c r="K248" s="159" t="s">
        <v>408</v>
      </c>
      <c r="L248" s="204" t="s">
        <v>936</v>
      </c>
      <c r="N248" s="141">
        <f t="shared" si="8"/>
        <v>54</v>
      </c>
    </row>
    <row r="249" spans="1:14" ht="15">
      <c r="A249" s="159"/>
      <c r="B249" s="143" t="str">
        <f t="shared" si="7"/>
        <v>55.</v>
      </c>
      <c r="C249" s="205" t="s">
        <v>878</v>
      </c>
      <c r="D249" s="162"/>
      <c r="E249" s="163"/>
      <c r="F249" s="159"/>
      <c r="G249" s="164"/>
      <c r="H249" s="204" t="s">
        <v>885</v>
      </c>
      <c r="I249" s="207">
        <v>45653</v>
      </c>
      <c r="J249" s="208">
        <v>42885000</v>
      </c>
      <c r="K249" s="159" t="s">
        <v>408</v>
      </c>
      <c r="L249" s="204" t="s">
        <v>937</v>
      </c>
      <c r="N249" s="141">
        <f t="shared" si="8"/>
        <v>55</v>
      </c>
    </row>
    <row r="250" spans="1:14" ht="30">
      <c r="A250" s="159"/>
      <c r="B250" s="143" t="str">
        <f t="shared" si="7"/>
        <v>56.</v>
      </c>
      <c r="C250" s="205" t="s">
        <v>879</v>
      </c>
      <c r="D250" s="162"/>
      <c r="E250" s="163"/>
      <c r="F250" s="555" t="s">
        <v>1765</v>
      </c>
      <c r="G250" s="164"/>
      <c r="H250" s="204" t="s">
        <v>886</v>
      </c>
      <c r="I250" s="207">
        <v>45896</v>
      </c>
      <c r="J250" s="208">
        <v>37736000</v>
      </c>
      <c r="K250" s="159" t="s">
        <v>408</v>
      </c>
      <c r="L250" s="204" t="s">
        <v>909</v>
      </c>
      <c r="N250" s="141">
        <f t="shared" si="8"/>
        <v>56</v>
      </c>
    </row>
    <row r="251" spans="1:14" ht="30">
      <c r="A251" s="159"/>
      <c r="B251" s="143" t="str">
        <f t="shared" si="7"/>
        <v>57.</v>
      </c>
      <c r="C251" s="205" t="s">
        <v>882</v>
      </c>
      <c r="D251" s="162"/>
      <c r="E251" s="163"/>
      <c r="F251" s="555" t="s">
        <v>1766</v>
      </c>
      <c r="G251" s="164"/>
      <c r="H251" s="204" t="s">
        <v>889</v>
      </c>
      <c r="I251" s="207">
        <v>45989</v>
      </c>
      <c r="J251" s="208">
        <v>4500000</v>
      </c>
      <c r="K251" s="159" t="s">
        <v>408</v>
      </c>
      <c r="L251" s="204" t="s">
        <v>410</v>
      </c>
      <c r="N251" s="141">
        <f t="shared" si="8"/>
        <v>57</v>
      </c>
    </row>
    <row r="252" spans="1:14" ht="30">
      <c r="A252" s="159"/>
      <c r="B252" s="143" t="str">
        <f t="shared" si="7"/>
        <v>58.</v>
      </c>
      <c r="C252" s="205" t="s">
        <v>883</v>
      </c>
      <c r="D252" s="162"/>
      <c r="E252" s="163"/>
      <c r="F252" s="555" t="s">
        <v>1766</v>
      </c>
      <c r="G252" s="164"/>
      <c r="H252" s="204" t="s">
        <v>890</v>
      </c>
      <c r="I252" s="207">
        <v>45989</v>
      </c>
      <c r="J252" s="208">
        <v>3500000</v>
      </c>
      <c r="K252" s="159" t="s">
        <v>408</v>
      </c>
      <c r="L252" s="204" t="s">
        <v>410</v>
      </c>
      <c r="N252" s="141">
        <f>N251+1</f>
        <v>58</v>
      </c>
    </row>
    <row r="253" spans="1:14" ht="13.5" customHeight="1">
      <c r="A253" s="159"/>
      <c r="B253" s="143"/>
      <c r="C253" s="166"/>
      <c r="D253" s="162"/>
      <c r="E253" s="163"/>
      <c r="F253" s="173"/>
      <c r="G253" s="164"/>
      <c r="H253" s="159"/>
      <c r="I253" s="159"/>
      <c r="J253" s="172"/>
      <c r="K253" s="159"/>
      <c r="L253" s="163"/>
      <c r="N253" s="141" t="e">
        <f>#REF!+1</f>
        <v>#REF!</v>
      </c>
    </row>
    <row r="254" spans="1:14">
      <c r="A254" s="159"/>
      <c r="B254" s="143"/>
      <c r="C254" s="166"/>
      <c r="D254" s="162"/>
      <c r="E254" s="163"/>
      <c r="F254" s="159"/>
      <c r="G254" s="164"/>
      <c r="H254" s="168"/>
      <c r="I254" s="159"/>
      <c r="J254" s="156">
        <f>SUM(J195:J253)</f>
        <v>4143180289</v>
      </c>
      <c r="K254" s="159"/>
      <c r="L254" s="163"/>
    </row>
    <row r="255" spans="1:14">
      <c r="A255" s="159"/>
      <c r="B255" s="143"/>
      <c r="C255" s="166"/>
      <c r="D255" s="162"/>
      <c r="E255" s="163"/>
      <c r="F255" s="159"/>
      <c r="G255" s="164"/>
      <c r="H255" s="168"/>
      <c r="I255" s="159"/>
      <c r="J255" s="156"/>
      <c r="K255" s="159"/>
      <c r="L255" s="163"/>
    </row>
    <row r="256" spans="1:14" s="157" customFormat="1">
      <c r="A256" s="150" t="s">
        <v>416</v>
      </c>
      <c r="B256" s="151" t="s">
        <v>211</v>
      </c>
      <c r="C256" s="152"/>
      <c r="D256" s="153"/>
      <c r="E256" s="154"/>
      <c r="F256" s="150"/>
      <c r="G256" s="155"/>
      <c r="H256" s="177"/>
      <c r="I256" s="150"/>
      <c r="J256" s="156"/>
      <c r="K256" s="150"/>
      <c r="L256" s="154"/>
      <c r="N256" s="158"/>
    </row>
    <row r="257" spans="1:14" ht="15">
      <c r="A257" s="159"/>
      <c r="B257" s="143" t="str">
        <f t="shared" ref="B257:B320" si="9">N257&amp;"."</f>
        <v>1.</v>
      </c>
      <c r="C257" s="205" t="s">
        <v>938</v>
      </c>
      <c r="D257" s="162"/>
      <c r="E257" s="163"/>
      <c r="F257" s="159"/>
      <c r="G257" s="164"/>
      <c r="H257" s="204" t="s">
        <v>940</v>
      </c>
      <c r="I257" s="211">
        <v>2010</v>
      </c>
      <c r="J257" s="208">
        <v>18000</v>
      </c>
      <c r="K257" s="159"/>
      <c r="L257" s="204" t="s">
        <v>455</v>
      </c>
      <c r="N257" s="141">
        <v>1</v>
      </c>
    </row>
    <row r="258" spans="1:14" ht="15">
      <c r="A258" s="159"/>
      <c r="B258" s="143" t="str">
        <f t="shared" si="9"/>
        <v>2.</v>
      </c>
      <c r="C258" s="205" t="s">
        <v>938</v>
      </c>
      <c r="D258" s="162"/>
      <c r="E258" s="163"/>
      <c r="F258" s="159"/>
      <c r="G258" s="164"/>
      <c r="H258" s="204" t="s">
        <v>940</v>
      </c>
      <c r="I258" s="211">
        <v>2009</v>
      </c>
      <c r="J258" s="208">
        <v>0</v>
      </c>
      <c r="K258" s="159"/>
      <c r="L258" s="204" t="s">
        <v>455</v>
      </c>
      <c r="N258" s="141">
        <f>N257+1</f>
        <v>2</v>
      </c>
    </row>
    <row r="259" spans="1:14" ht="15">
      <c r="A259" s="159"/>
      <c r="B259" s="143" t="str">
        <f t="shared" si="9"/>
        <v>3.</v>
      </c>
      <c r="C259" s="205" t="s">
        <v>938</v>
      </c>
      <c r="D259" s="162"/>
      <c r="E259" s="163"/>
      <c r="F259" s="159"/>
      <c r="G259" s="164"/>
      <c r="H259" s="204" t="s">
        <v>940</v>
      </c>
      <c r="I259" s="211">
        <v>2010</v>
      </c>
      <c r="J259" s="208">
        <v>0</v>
      </c>
      <c r="K259" s="159"/>
      <c r="L259" s="204" t="s">
        <v>455</v>
      </c>
      <c r="N259" s="141">
        <f t="shared" ref="N259:N322" si="10">N258+1</f>
        <v>3</v>
      </c>
    </row>
    <row r="260" spans="1:14" ht="15">
      <c r="A260" s="159"/>
      <c r="B260" s="143" t="str">
        <f t="shared" si="9"/>
        <v>4.</v>
      </c>
      <c r="C260" s="205" t="s">
        <v>938</v>
      </c>
      <c r="D260" s="162"/>
      <c r="E260" s="163"/>
      <c r="F260" s="159"/>
      <c r="G260" s="164"/>
      <c r="H260" s="204" t="s">
        <v>940</v>
      </c>
      <c r="I260" s="211">
        <v>2009</v>
      </c>
      <c r="J260" s="208">
        <v>0</v>
      </c>
      <c r="K260" s="159"/>
      <c r="L260" s="204" t="s">
        <v>455</v>
      </c>
      <c r="N260" s="141">
        <f t="shared" si="10"/>
        <v>4</v>
      </c>
    </row>
    <row r="261" spans="1:14" ht="15">
      <c r="A261" s="159"/>
      <c r="B261" s="143" t="str">
        <f t="shared" si="9"/>
        <v>5.</v>
      </c>
      <c r="C261" s="205" t="s">
        <v>938</v>
      </c>
      <c r="D261" s="162"/>
      <c r="E261" s="163"/>
      <c r="F261" s="159"/>
      <c r="G261" s="164"/>
      <c r="H261" s="204" t="s">
        <v>940</v>
      </c>
      <c r="I261" s="211">
        <v>2009</v>
      </c>
      <c r="J261" s="208">
        <v>0</v>
      </c>
      <c r="K261" s="159"/>
      <c r="L261" s="204" t="s">
        <v>455</v>
      </c>
      <c r="N261" s="141">
        <f t="shared" si="10"/>
        <v>5</v>
      </c>
    </row>
    <row r="262" spans="1:14" ht="15">
      <c r="A262" s="159"/>
      <c r="B262" s="143" t="str">
        <f t="shared" si="9"/>
        <v>6.</v>
      </c>
      <c r="C262" s="205" t="s">
        <v>938</v>
      </c>
      <c r="D262" s="162"/>
      <c r="E262" s="163"/>
      <c r="F262" s="159"/>
      <c r="G262" s="164"/>
      <c r="H262" s="204" t="s">
        <v>940</v>
      </c>
      <c r="I262" s="211">
        <v>2009</v>
      </c>
      <c r="J262" s="208">
        <v>0</v>
      </c>
      <c r="K262" s="159"/>
      <c r="L262" s="204" t="s">
        <v>455</v>
      </c>
      <c r="N262" s="141">
        <f t="shared" si="10"/>
        <v>6</v>
      </c>
    </row>
    <row r="263" spans="1:14" ht="15">
      <c r="A263" s="159"/>
      <c r="B263" s="143" t="str">
        <f t="shared" si="9"/>
        <v>7.</v>
      </c>
      <c r="C263" s="205" t="s">
        <v>938</v>
      </c>
      <c r="D263" s="162"/>
      <c r="E263" s="163"/>
      <c r="F263" s="159"/>
      <c r="G263" s="164"/>
      <c r="H263" s="204" t="s">
        <v>940</v>
      </c>
      <c r="I263" s="211">
        <v>2009</v>
      </c>
      <c r="J263" s="208">
        <v>0</v>
      </c>
      <c r="K263" s="159"/>
      <c r="L263" s="204" t="s">
        <v>455</v>
      </c>
      <c r="N263" s="141">
        <f t="shared" si="10"/>
        <v>7</v>
      </c>
    </row>
    <row r="264" spans="1:14" ht="15">
      <c r="A264" s="159"/>
      <c r="B264" s="143" t="str">
        <f t="shared" si="9"/>
        <v>8.</v>
      </c>
      <c r="C264" s="205" t="s">
        <v>938</v>
      </c>
      <c r="D264" s="162"/>
      <c r="E264" s="163"/>
      <c r="F264" s="159"/>
      <c r="G264" s="164"/>
      <c r="H264" s="204" t="s">
        <v>940</v>
      </c>
      <c r="I264" s="211">
        <v>2009</v>
      </c>
      <c r="J264" s="208">
        <v>0</v>
      </c>
      <c r="K264" s="159"/>
      <c r="L264" s="204" t="s">
        <v>455</v>
      </c>
      <c r="N264" s="141">
        <f t="shared" si="10"/>
        <v>8</v>
      </c>
    </row>
    <row r="265" spans="1:14" ht="15">
      <c r="A265" s="159"/>
      <c r="B265" s="143" t="str">
        <f t="shared" si="9"/>
        <v>9.</v>
      </c>
      <c r="C265" s="205" t="s">
        <v>938</v>
      </c>
      <c r="D265" s="162"/>
      <c r="E265" s="163"/>
      <c r="F265" s="159"/>
      <c r="G265" s="164"/>
      <c r="H265" s="204" t="s">
        <v>940</v>
      </c>
      <c r="I265" s="211">
        <v>2010</v>
      </c>
      <c r="J265" s="208">
        <v>0</v>
      </c>
      <c r="K265" s="159"/>
      <c r="L265" s="204" t="s">
        <v>455</v>
      </c>
      <c r="N265" s="141">
        <f t="shared" si="10"/>
        <v>9</v>
      </c>
    </row>
    <row r="266" spans="1:14" ht="15">
      <c r="A266" s="159"/>
      <c r="B266" s="143" t="str">
        <f t="shared" si="9"/>
        <v>10.</v>
      </c>
      <c r="C266" s="205" t="s">
        <v>938</v>
      </c>
      <c r="D266" s="162"/>
      <c r="E266" s="163"/>
      <c r="F266" s="159"/>
      <c r="G266" s="164"/>
      <c r="H266" s="204" t="s">
        <v>940</v>
      </c>
      <c r="I266" s="211">
        <v>2008</v>
      </c>
      <c r="J266" s="208">
        <v>0</v>
      </c>
      <c r="K266" s="159"/>
      <c r="L266" s="204" t="s">
        <v>455</v>
      </c>
      <c r="N266" s="141">
        <f t="shared" si="10"/>
        <v>10</v>
      </c>
    </row>
    <row r="267" spans="1:14" ht="15">
      <c r="A267" s="159"/>
      <c r="B267" s="143" t="str">
        <f t="shared" si="9"/>
        <v>11.</v>
      </c>
      <c r="C267" s="205" t="s">
        <v>938</v>
      </c>
      <c r="D267" s="162"/>
      <c r="E267" s="163"/>
      <c r="F267" s="159"/>
      <c r="G267" s="164"/>
      <c r="H267" s="204" t="s">
        <v>940</v>
      </c>
      <c r="I267" s="211">
        <v>2009</v>
      </c>
      <c r="J267" s="208">
        <v>0</v>
      </c>
      <c r="K267" s="159"/>
      <c r="L267" s="204" t="s">
        <v>455</v>
      </c>
      <c r="N267" s="141">
        <f t="shared" si="10"/>
        <v>11</v>
      </c>
    </row>
    <row r="268" spans="1:14" ht="15">
      <c r="A268" s="159"/>
      <c r="B268" s="143" t="str">
        <f t="shared" si="9"/>
        <v>12.</v>
      </c>
      <c r="C268" s="205" t="s">
        <v>938</v>
      </c>
      <c r="D268" s="162"/>
      <c r="E268" s="163"/>
      <c r="F268" s="159"/>
      <c r="G268" s="164"/>
      <c r="H268" s="204" t="s">
        <v>940</v>
      </c>
      <c r="I268" s="211">
        <v>2009</v>
      </c>
      <c r="J268" s="208">
        <v>0</v>
      </c>
      <c r="K268" s="159"/>
      <c r="L268" s="204" t="s">
        <v>455</v>
      </c>
      <c r="N268" s="141">
        <f t="shared" si="10"/>
        <v>12</v>
      </c>
    </row>
    <row r="269" spans="1:14" ht="15">
      <c r="A269" s="159"/>
      <c r="B269" s="143" t="str">
        <f t="shared" si="9"/>
        <v>13.</v>
      </c>
      <c r="C269" s="205" t="s">
        <v>938</v>
      </c>
      <c r="D269" s="162"/>
      <c r="E269" s="163"/>
      <c r="F269" s="159"/>
      <c r="G269" s="164"/>
      <c r="H269" s="204" t="s">
        <v>940</v>
      </c>
      <c r="I269" s="211">
        <v>2010</v>
      </c>
      <c r="J269" s="208">
        <v>0</v>
      </c>
      <c r="K269" s="159"/>
      <c r="L269" s="204" t="s">
        <v>455</v>
      </c>
      <c r="N269" s="141">
        <f t="shared" si="10"/>
        <v>13</v>
      </c>
    </row>
    <row r="270" spans="1:14" ht="15">
      <c r="A270" s="159"/>
      <c r="B270" s="143" t="str">
        <f t="shared" si="9"/>
        <v>14.</v>
      </c>
      <c r="C270" s="205" t="s">
        <v>938</v>
      </c>
      <c r="D270" s="162"/>
      <c r="E270" s="163"/>
      <c r="F270" s="159"/>
      <c r="G270" s="164"/>
      <c r="H270" s="204" t="s">
        <v>940</v>
      </c>
      <c r="I270" s="211">
        <v>2009</v>
      </c>
      <c r="J270" s="208">
        <v>0</v>
      </c>
      <c r="K270" s="159"/>
      <c r="L270" s="204" t="s">
        <v>455</v>
      </c>
      <c r="N270" s="141">
        <f t="shared" si="10"/>
        <v>14</v>
      </c>
    </row>
    <row r="271" spans="1:14" ht="15">
      <c r="A271" s="159"/>
      <c r="B271" s="143" t="str">
        <f t="shared" si="9"/>
        <v>15.</v>
      </c>
      <c r="C271" s="205" t="s">
        <v>938</v>
      </c>
      <c r="D271" s="162"/>
      <c r="E271" s="163"/>
      <c r="F271" s="159"/>
      <c r="G271" s="164"/>
      <c r="H271" s="204" t="s">
        <v>940</v>
      </c>
      <c r="I271" s="211">
        <v>2008</v>
      </c>
      <c r="J271" s="208">
        <f>15000*2</f>
        <v>30000</v>
      </c>
      <c r="K271" s="159"/>
      <c r="L271" s="204" t="s">
        <v>455</v>
      </c>
      <c r="N271" s="141">
        <f t="shared" si="10"/>
        <v>15</v>
      </c>
    </row>
    <row r="272" spans="1:14" ht="15">
      <c r="A272" s="159"/>
      <c r="B272" s="143" t="str">
        <f t="shared" si="9"/>
        <v>16.</v>
      </c>
      <c r="C272" s="205" t="s">
        <v>938</v>
      </c>
      <c r="D272" s="162"/>
      <c r="E272" s="163"/>
      <c r="F272" s="159"/>
      <c r="G272" s="164"/>
      <c r="H272" s="204" t="s">
        <v>940</v>
      </c>
      <c r="I272" s="211">
        <v>2010</v>
      </c>
      <c r="J272" s="208">
        <v>0</v>
      </c>
      <c r="K272" s="159"/>
      <c r="L272" s="204" t="s">
        <v>455</v>
      </c>
      <c r="N272" s="141">
        <f t="shared" si="10"/>
        <v>16</v>
      </c>
    </row>
    <row r="273" spans="1:14" ht="15">
      <c r="A273" s="159"/>
      <c r="B273" s="143" t="str">
        <f t="shared" si="9"/>
        <v>17.</v>
      </c>
      <c r="C273" s="205" t="s">
        <v>938</v>
      </c>
      <c r="D273" s="162"/>
      <c r="E273" s="163"/>
      <c r="F273" s="159"/>
      <c r="G273" s="164"/>
      <c r="H273" s="204" t="s">
        <v>940</v>
      </c>
      <c r="I273" s="211">
        <v>2010</v>
      </c>
      <c r="J273" s="208">
        <v>0</v>
      </c>
      <c r="K273" s="159"/>
      <c r="L273" s="204" t="s">
        <v>455</v>
      </c>
      <c r="N273" s="141">
        <f t="shared" si="10"/>
        <v>17</v>
      </c>
    </row>
    <row r="274" spans="1:14" ht="15">
      <c r="A274" s="159"/>
      <c r="B274" s="143" t="str">
        <f t="shared" si="9"/>
        <v>18.</v>
      </c>
      <c r="C274" s="205" t="s">
        <v>938</v>
      </c>
      <c r="D274" s="162"/>
      <c r="E274" s="163"/>
      <c r="F274" s="159"/>
      <c r="G274" s="164"/>
      <c r="H274" s="204" t="s">
        <v>940</v>
      </c>
      <c r="I274" s="211">
        <v>2010</v>
      </c>
      <c r="J274" s="208">
        <v>0</v>
      </c>
      <c r="K274" s="159"/>
      <c r="L274" s="204" t="s">
        <v>455</v>
      </c>
      <c r="N274" s="141">
        <f t="shared" si="10"/>
        <v>18</v>
      </c>
    </row>
    <row r="275" spans="1:14" ht="15">
      <c r="A275" s="159"/>
      <c r="B275" s="143" t="str">
        <f t="shared" si="9"/>
        <v>19.</v>
      </c>
      <c r="C275" s="205" t="s">
        <v>938</v>
      </c>
      <c r="D275" s="162"/>
      <c r="E275" s="163"/>
      <c r="F275" s="159"/>
      <c r="G275" s="164"/>
      <c r="H275" s="204" t="s">
        <v>940</v>
      </c>
      <c r="I275" s="211">
        <v>2011</v>
      </c>
      <c r="J275" s="208">
        <v>0</v>
      </c>
      <c r="K275" s="159"/>
      <c r="L275" s="204" t="s">
        <v>455</v>
      </c>
      <c r="N275" s="141">
        <f t="shared" si="10"/>
        <v>19</v>
      </c>
    </row>
    <row r="276" spans="1:14" ht="15">
      <c r="A276" s="159"/>
      <c r="B276" s="143" t="str">
        <f t="shared" si="9"/>
        <v>20.</v>
      </c>
      <c r="C276" s="205" t="s">
        <v>938</v>
      </c>
      <c r="D276" s="162"/>
      <c r="E276" s="163"/>
      <c r="F276" s="159"/>
      <c r="G276" s="164"/>
      <c r="H276" s="204" t="s">
        <v>940</v>
      </c>
      <c r="I276" s="211">
        <v>2010</v>
      </c>
      <c r="J276" s="208">
        <v>0</v>
      </c>
      <c r="K276" s="159"/>
      <c r="L276" s="204" t="s">
        <v>455</v>
      </c>
      <c r="N276" s="141">
        <f t="shared" si="10"/>
        <v>20</v>
      </c>
    </row>
    <row r="277" spans="1:14" ht="15">
      <c r="A277" s="159"/>
      <c r="B277" s="143" t="str">
        <f t="shared" si="9"/>
        <v>21.</v>
      </c>
      <c r="C277" s="205" t="s">
        <v>938</v>
      </c>
      <c r="D277" s="162"/>
      <c r="E277" s="163"/>
      <c r="F277" s="159"/>
      <c r="G277" s="164"/>
      <c r="H277" s="204" t="s">
        <v>940</v>
      </c>
      <c r="I277" s="211">
        <v>2003</v>
      </c>
      <c r="J277" s="208">
        <v>0</v>
      </c>
      <c r="K277" s="159"/>
      <c r="L277" s="204" t="s">
        <v>455</v>
      </c>
      <c r="N277" s="141">
        <f t="shared" si="10"/>
        <v>21</v>
      </c>
    </row>
    <row r="278" spans="1:14" ht="15">
      <c r="A278" s="159"/>
      <c r="B278" s="143" t="str">
        <f t="shared" si="9"/>
        <v>22.</v>
      </c>
      <c r="C278" s="205" t="s">
        <v>938</v>
      </c>
      <c r="D278" s="162"/>
      <c r="E278" s="163"/>
      <c r="F278" s="159"/>
      <c r="G278" s="164"/>
      <c r="H278" s="204" t="s">
        <v>940</v>
      </c>
      <c r="I278" s="211">
        <v>2009</v>
      </c>
      <c r="J278" s="208">
        <v>0</v>
      </c>
      <c r="K278" s="159"/>
      <c r="L278" s="204" t="s">
        <v>455</v>
      </c>
      <c r="N278" s="141">
        <f t="shared" si="10"/>
        <v>22</v>
      </c>
    </row>
    <row r="279" spans="1:14" ht="15">
      <c r="A279" s="159"/>
      <c r="B279" s="143" t="str">
        <f t="shared" si="9"/>
        <v>23.</v>
      </c>
      <c r="C279" s="205" t="s">
        <v>938</v>
      </c>
      <c r="D279" s="162"/>
      <c r="E279" s="163"/>
      <c r="F279" s="159"/>
      <c r="G279" s="164"/>
      <c r="H279" s="204" t="s">
        <v>940</v>
      </c>
      <c r="I279" s="211">
        <v>2010</v>
      </c>
      <c r="J279" s="208">
        <v>13000</v>
      </c>
      <c r="K279" s="159"/>
      <c r="L279" s="204" t="s">
        <v>455</v>
      </c>
      <c r="N279" s="141">
        <f t="shared" si="10"/>
        <v>23</v>
      </c>
    </row>
    <row r="280" spans="1:14" ht="15">
      <c r="A280" s="159"/>
      <c r="B280" s="143" t="str">
        <f t="shared" si="9"/>
        <v>24.</v>
      </c>
      <c r="C280" s="205" t="s">
        <v>938</v>
      </c>
      <c r="D280" s="162"/>
      <c r="E280" s="163"/>
      <c r="F280" s="159"/>
      <c r="G280" s="164"/>
      <c r="H280" s="204" t="s">
        <v>940</v>
      </c>
      <c r="I280" s="211">
        <v>2009</v>
      </c>
      <c r="J280" s="208">
        <f>24000*2</f>
        <v>48000</v>
      </c>
      <c r="K280" s="159"/>
      <c r="L280" s="204" t="s">
        <v>455</v>
      </c>
      <c r="N280" s="141">
        <f t="shared" si="10"/>
        <v>24</v>
      </c>
    </row>
    <row r="281" spans="1:14" ht="15">
      <c r="A281" s="159"/>
      <c r="B281" s="143" t="str">
        <f t="shared" si="9"/>
        <v>25.</v>
      </c>
      <c r="C281" s="205" t="s">
        <v>938</v>
      </c>
      <c r="D281" s="162"/>
      <c r="E281" s="163"/>
      <c r="F281" s="159"/>
      <c r="G281" s="164"/>
      <c r="H281" s="204" t="s">
        <v>940</v>
      </c>
      <c r="I281" s="211">
        <v>2010</v>
      </c>
      <c r="J281" s="208">
        <f>14000*2</f>
        <v>28000</v>
      </c>
      <c r="K281" s="159"/>
      <c r="L281" s="204" t="s">
        <v>455</v>
      </c>
      <c r="N281" s="141">
        <f t="shared" si="10"/>
        <v>25</v>
      </c>
    </row>
    <row r="282" spans="1:14" ht="15">
      <c r="A282" s="159"/>
      <c r="B282" s="143" t="str">
        <f t="shared" si="9"/>
        <v>26.</v>
      </c>
      <c r="C282" s="205" t="s">
        <v>938</v>
      </c>
      <c r="D282" s="162"/>
      <c r="E282" s="163"/>
      <c r="F282" s="159"/>
      <c r="G282" s="164"/>
      <c r="H282" s="204" t="s">
        <v>940</v>
      </c>
      <c r="I282" s="211">
        <v>2009</v>
      </c>
      <c r="J282" s="208">
        <f>33900*2</f>
        <v>67800</v>
      </c>
      <c r="K282" s="159"/>
      <c r="L282" s="204" t="s">
        <v>455</v>
      </c>
      <c r="N282" s="141">
        <f t="shared" si="10"/>
        <v>26</v>
      </c>
    </row>
    <row r="283" spans="1:14" ht="15">
      <c r="A283" s="159"/>
      <c r="B283" s="143" t="str">
        <f t="shared" si="9"/>
        <v>27.</v>
      </c>
      <c r="C283" s="205" t="s">
        <v>938</v>
      </c>
      <c r="D283" s="162"/>
      <c r="E283" s="163"/>
      <c r="F283" s="159"/>
      <c r="G283" s="164"/>
      <c r="H283" s="204" t="s">
        <v>940</v>
      </c>
      <c r="I283" s="211">
        <v>2009</v>
      </c>
      <c r="J283" s="208">
        <v>0</v>
      </c>
      <c r="K283" s="159"/>
      <c r="L283" s="204" t="s">
        <v>455</v>
      </c>
      <c r="N283" s="141">
        <f t="shared" si="10"/>
        <v>27</v>
      </c>
    </row>
    <row r="284" spans="1:14" ht="15">
      <c r="A284" s="159"/>
      <c r="B284" s="143" t="str">
        <f t="shared" si="9"/>
        <v>28.</v>
      </c>
      <c r="C284" s="205" t="s">
        <v>938</v>
      </c>
      <c r="D284" s="162"/>
      <c r="E284" s="163"/>
      <c r="F284" s="159"/>
      <c r="G284" s="164"/>
      <c r="H284" s="204" t="s">
        <v>940</v>
      </c>
      <c r="I284" s="211">
        <v>2010</v>
      </c>
      <c r="J284" s="208">
        <v>0</v>
      </c>
      <c r="K284" s="159"/>
      <c r="L284" s="204" t="s">
        <v>455</v>
      </c>
      <c r="N284" s="141">
        <f t="shared" si="10"/>
        <v>28</v>
      </c>
    </row>
    <row r="285" spans="1:14" ht="15">
      <c r="A285" s="159"/>
      <c r="B285" s="143" t="str">
        <f t="shared" si="9"/>
        <v>29.</v>
      </c>
      <c r="C285" s="205" t="s">
        <v>938</v>
      </c>
      <c r="D285" s="162"/>
      <c r="E285" s="163"/>
      <c r="F285" s="159"/>
      <c r="G285" s="164"/>
      <c r="H285" s="204" t="s">
        <v>940</v>
      </c>
      <c r="I285" s="211">
        <v>2011</v>
      </c>
      <c r="J285" s="208">
        <v>20130</v>
      </c>
      <c r="K285" s="159"/>
      <c r="L285" s="204" t="s">
        <v>455</v>
      </c>
      <c r="N285" s="141">
        <f t="shared" si="10"/>
        <v>29</v>
      </c>
    </row>
    <row r="286" spans="1:14" ht="15">
      <c r="A286" s="159"/>
      <c r="B286" s="143" t="str">
        <f t="shared" si="9"/>
        <v>30.</v>
      </c>
      <c r="C286" s="205" t="s">
        <v>938</v>
      </c>
      <c r="D286" s="162"/>
      <c r="E286" s="163"/>
      <c r="F286" s="159"/>
      <c r="G286" s="164"/>
      <c r="H286" s="204" t="s">
        <v>940</v>
      </c>
      <c r="I286" s="211">
        <v>2009</v>
      </c>
      <c r="J286" s="208">
        <f>13176*2</f>
        <v>26352</v>
      </c>
      <c r="K286" s="159"/>
      <c r="L286" s="204" t="s">
        <v>455</v>
      </c>
      <c r="N286" s="141">
        <f t="shared" si="10"/>
        <v>30</v>
      </c>
    </row>
    <row r="287" spans="1:14" ht="15">
      <c r="A287" s="159"/>
      <c r="B287" s="143" t="str">
        <f t="shared" si="9"/>
        <v>31.</v>
      </c>
      <c r="C287" s="205" t="s">
        <v>938</v>
      </c>
      <c r="D287" s="162"/>
      <c r="E287" s="163"/>
      <c r="F287" s="159"/>
      <c r="G287" s="164"/>
      <c r="H287" s="204" t="s">
        <v>940</v>
      </c>
      <c r="I287" s="211">
        <v>2009</v>
      </c>
      <c r="J287" s="208">
        <f>13176*3</f>
        <v>39528</v>
      </c>
      <c r="K287" s="159"/>
      <c r="L287" s="204" t="s">
        <v>455</v>
      </c>
      <c r="N287" s="141">
        <f t="shared" si="10"/>
        <v>31</v>
      </c>
    </row>
    <row r="288" spans="1:14" ht="15">
      <c r="A288" s="159"/>
      <c r="B288" s="143" t="str">
        <f t="shared" si="9"/>
        <v>32.</v>
      </c>
      <c r="C288" s="205" t="s">
        <v>938</v>
      </c>
      <c r="D288" s="162"/>
      <c r="E288" s="163"/>
      <c r="F288" s="159"/>
      <c r="G288" s="164"/>
      <c r="H288" s="204" t="s">
        <v>940</v>
      </c>
      <c r="I288" s="211">
        <v>2009</v>
      </c>
      <c r="J288" s="208">
        <f>18000*2</f>
        <v>36000</v>
      </c>
      <c r="K288" s="159"/>
      <c r="L288" s="204" t="s">
        <v>455</v>
      </c>
      <c r="N288" s="141">
        <f t="shared" si="10"/>
        <v>32</v>
      </c>
    </row>
    <row r="289" spans="1:14" ht="15">
      <c r="A289" s="159"/>
      <c r="B289" s="143" t="str">
        <f t="shared" si="9"/>
        <v>33.</v>
      </c>
      <c r="C289" s="205" t="s">
        <v>938</v>
      </c>
      <c r="D289" s="162"/>
      <c r="E289" s="163"/>
      <c r="F289" s="159"/>
      <c r="G289" s="164"/>
      <c r="H289" s="204" t="s">
        <v>940</v>
      </c>
      <c r="I289" s="211">
        <v>2011</v>
      </c>
      <c r="J289" s="208">
        <f>15000*2</f>
        <v>30000</v>
      </c>
      <c r="K289" s="159"/>
      <c r="L289" s="204" t="s">
        <v>455</v>
      </c>
      <c r="N289" s="141">
        <f t="shared" si="10"/>
        <v>33</v>
      </c>
    </row>
    <row r="290" spans="1:14" ht="15">
      <c r="A290" s="159"/>
      <c r="B290" s="143" t="str">
        <f t="shared" si="9"/>
        <v>34.</v>
      </c>
      <c r="C290" s="205" t="s">
        <v>938</v>
      </c>
      <c r="D290" s="162"/>
      <c r="E290" s="163"/>
      <c r="F290" s="159"/>
      <c r="G290" s="164"/>
      <c r="H290" s="204" t="s">
        <v>940</v>
      </c>
      <c r="I290" s="211">
        <v>2010</v>
      </c>
      <c r="J290" s="208">
        <v>0</v>
      </c>
      <c r="K290" s="159"/>
      <c r="L290" s="204" t="s">
        <v>455</v>
      </c>
      <c r="N290" s="141">
        <f t="shared" si="10"/>
        <v>34</v>
      </c>
    </row>
    <row r="291" spans="1:14" ht="15">
      <c r="A291" s="159"/>
      <c r="B291" s="143" t="str">
        <f t="shared" si="9"/>
        <v>35.</v>
      </c>
      <c r="C291" s="205" t="s">
        <v>938</v>
      </c>
      <c r="D291" s="162"/>
      <c r="E291" s="163"/>
      <c r="F291" s="159"/>
      <c r="G291" s="164"/>
      <c r="H291" s="204" t="s">
        <v>940</v>
      </c>
      <c r="I291" s="211">
        <v>2009</v>
      </c>
      <c r="J291" s="208">
        <v>15000</v>
      </c>
      <c r="K291" s="159"/>
      <c r="L291" s="204" t="s">
        <v>455</v>
      </c>
      <c r="N291" s="141">
        <f t="shared" si="10"/>
        <v>35</v>
      </c>
    </row>
    <row r="292" spans="1:14" ht="15">
      <c r="A292" s="159"/>
      <c r="B292" s="143" t="str">
        <f t="shared" si="9"/>
        <v>36.</v>
      </c>
      <c r="C292" s="205" t="s">
        <v>938</v>
      </c>
      <c r="D292" s="162"/>
      <c r="E292" s="163"/>
      <c r="F292" s="159"/>
      <c r="G292" s="164"/>
      <c r="H292" s="204" t="s">
        <v>940</v>
      </c>
      <c r="I292" s="211">
        <v>2019</v>
      </c>
      <c r="J292" s="208">
        <v>0</v>
      </c>
      <c r="K292" s="159"/>
      <c r="L292" s="204" t="s">
        <v>455</v>
      </c>
      <c r="N292" s="141">
        <f t="shared" si="10"/>
        <v>36</v>
      </c>
    </row>
    <row r="293" spans="1:14" ht="15">
      <c r="A293" s="159"/>
      <c r="B293" s="143" t="str">
        <f t="shared" si="9"/>
        <v>37.</v>
      </c>
      <c r="C293" s="205" t="s">
        <v>938</v>
      </c>
      <c r="D293" s="162"/>
      <c r="E293" s="163"/>
      <c r="F293" s="159"/>
      <c r="G293" s="164"/>
      <c r="H293" s="204" t="s">
        <v>940</v>
      </c>
      <c r="I293" s="211">
        <v>2009</v>
      </c>
      <c r="J293" s="208">
        <v>0</v>
      </c>
      <c r="K293" s="159"/>
      <c r="L293" s="204" t="s">
        <v>455</v>
      </c>
      <c r="N293" s="141">
        <f t="shared" si="10"/>
        <v>37</v>
      </c>
    </row>
    <row r="294" spans="1:14" ht="15">
      <c r="A294" s="159"/>
      <c r="B294" s="143" t="str">
        <f t="shared" si="9"/>
        <v>38.</v>
      </c>
      <c r="C294" s="205" t="s">
        <v>938</v>
      </c>
      <c r="D294" s="162"/>
      <c r="E294" s="163"/>
      <c r="F294" s="159"/>
      <c r="G294" s="164"/>
      <c r="H294" s="204" t="s">
        <v>940</v>
      </c>
      <c r="I294" s="211">
        <v>2009</v>
      </c>
      <c r="J294" s="208">
        <f>33900*2</f>
        <v>67800</v>
      </c>
      <c r="K294" s="159"/>
      <c r="L294" s="204" t="s">
        <v>455</v>
      </c>
      <c r="N294" s="141">
        <f t="shared" si="10"/>
        <v>38</v>
      </c>
    </row>
    <row r="295" spans="1:14" ht="15">
      <c r="A295" s="159"/>
      <c r="B295" s="143" t="str">
        <f t="shared" si="9"/>
        <v>39.</v>
      </c>
      <c r="C295" s="205" t="s">
        <v>938</v>
      </c>
      <c r="D295" s="162"/>
      <c r="E295" s="163"/>
      <c r="F295" s="159"/>
      <c r="G295" s="164"/>
      <c r="H295" s="204" t="s">
        <v>940</v>
      </c>
      <c r="I295" s="211">
        <v>2009</v>
      </c>
      <c r="J295" s="208">
        <f>24900*2</f>
        <v>49800</v>
      </c>
      <c r="K295" s="159"/>
      <c r="L295" s="204" t="s">
        <v>455</v>
      </c>
      <c r="N295" s="141">
        <f t="shared" si="10"/>
        <v>39</v>
      </c>
    </row>
    <row r="296" spans="1:14" ht="15">
      <c r="A296" s="159"/>
      <c r="B296" s="143" t="str">
        <f t="shared" si="9"/>
        <v>40.</v>
      </c>
      <c r="C296" s="205" t="s">
        <v>938</v>
      </c>
      <c r="D296" s="162"/>
      <c r="E296" s="163"/>
      <c r="F296" s="159"/>
      <c r="G296" s="164"/>
      <c r="H296" s="204" t="s">
        <v>940</v>
      </c>
      <c r="I296" s="211">
        <v>2009</v>
      </c>
      <c r="J296" s="208">
        <f>22900*2</f>
        <v>45800</v>
      </c>
      <c r="K296" s="159"/>
      <c r="L296" s="204" t="s">
        <v>455</v>
      </c>
      <c r="N296" s="141">
        <f t="shared" si="10"/>
        <v>40</v>
      </c>
    </row>
    <row r="297" spans="1:14" ht="15">
      <c r="A297" s="159"/>
      <c r="B297" s="143" t="str">
        <f t="shared" si="9"/>
        <v>41.</v>
      </c>
      <c r="C297" s="205" t="s">
        <v>938</v>
      </c>
      <c r="D297" s="162"/>
      <c r="E297" s="163"/>
      <c r="F297" s="159"/>
      <c r="G297" s="164"/>
      <c r="H297" s="204" t="s">
        <v>940</v>
      </c>
      <c r="I297" s="211">
        <v>2010</v>
      </c>
      <c r="J297" s="208">
        <f>15000*2</f>
        <v>30000</v>
      </c>
      <c r="K297" s="159"/>
      <c r="L297" s="204" t="s">
        <v>455</v>
      </c>
      <c r="N297" s="141">
        <f t="shared" si="10"/>
        <v>41</v>
      </c>
    </row>
    <row r="298" spans="1:14" ht="15">
      <c r="A298" s="159"/>
      <c r="B298" s="143" t="str">
        <f t="shared" si="9"/>
        <v>42.</v>
      </c>
      <c r="C298" s="205" t="s">
        <v>938</v>
      </c>
      <c r="D298" s="162"/>
      <c r="E298" s="163"/>
      <c r="F298" s="159"/>
      <c r="G298" s="164"/>
      <c r="H298" s="204" t="s">
        <v>940</v>
      </c>
      <c r="I298" s="211">
        <v>2009</v>
      </c>
      <c r="J298" s="208">
        <v>0</v>
      </c>
      <c r="K298" s="159"/>
      <c r="L298" s="204" t="s">
        <v>455</v>
      </c>
      <c r="N298" s="141">
        <f t="shared" si="10"/>
        <v>42</v>
      </c>
    </row>
    <row r="299" spans="1:14" ht="15">
      <c r="A299" s="159"/>
      <c r="B299" s="143" t="str">
        <f t="shared" si="9"/>
        <v>43.</v>
      </c>
      <c r="C299" s="205" t="s">
        <v>938</v>
      </c>
      <c r="D299" s="162"/>
      <c r="E299" s="163"/>
      <c r="F299" s="159"/>
      <c r="G299" s="164"/>
      <c r="H299" s="204" t="s">
        <v>940</v>
      </c>
      <c r="I299" s="211">
        <v>2009</v>
      </c>
      <c r="J299" s="208">
        <v>0</v>
      </c>
      <c r="K299" s="159"/>
      <c r="L299" s="204" t="s">
        <v>455</v>
      </c>
      <c r="N299" s="141">
        <f t="shared" si="10"/>
        <v>43</v>
      </c>
    </row>
    <row r="300" spans="1:14" ht="15">
      <c r="A300" s="159"/>
      <c r="B300" s="143" t="str">
        <f t="shared" si="9"/>
        <v>44.</v>
      </c>
      <c r="C300" s="205" t="s">
        <v>938</v>
      </c>
      <c r="D300" s="162"/>
      <c r="E300" s="163"/>
      <c r="F300" s="159"/>
      <c r="G300" s="164"/>
      <c r="H300" s="204" t="s">
        <v>940</v>
      </c>
      <c r="I300" s="211">
        <v>2008</v>
      </c>
      <c r="J300" s="208">
        <v>0</v>
      </c>
      <c r="K300" s="159"/>
      <c r="L300" s="204" t="s">
        <v>455</v>
      </c>
      <c r="N300" s="141">
        <f t="shared" si="10"/>
        <v>44</v>
      </c>
    </row>
    <row r="301" spans="1:14" ht="15">
      <c r="A301" s="159"/>
      <c r="B301" s="143" t="str">
        <f t="shared" si="9"/>
        <v>45.</v>
      </c>
      <c r="C301" s="205" t="s">
        <v>938</v>
      </c>
      <c r="D301" s="162"/>
      <c r="E301" s="163"/>
      <c r="F301" s="159"/>
      <c r="G301" s="164"/>
      <c r="H301" s="204" t="s">
        <v>940</v>
      </c>
      <c r="I301" s="211">
        <v>2008</v>
      </c>
      <c r="J301" s="208">
        <v>0</v>
      </c>
      <c r="K301" s="159"/>
      <c r="L301" s="204" t="s">
        <v>455</v>
      </c>
      <c r="N301" s="141">
        <f t="shared" si="10"/>
        <v>45</v>
      </c>
    </row>
    <row r="302" spans="1:14" ht="15">
      <c r="A302" s="159"/>
      <c r="B302" s="143" t="str">
        <f t="shared" si="9"/>
        <v>46.</v>
      </c>
      <c r="C302" s="205" t="s">
        <v>938</v>
      </c>
      <c r="D302" s="162"/>
      <c r="E302" s="163"/>
      <c r="F302" s="159"/>
      <c r="G302" s="164"/>
      <c r="H302" s="204" t="s">
        <v>940</v>
      </c>
      <c r="I302" s="211">
        <v>2010</v>
      </c>
      <c r="J302" s="208">
        <v>15000</v>
      </c>
      <c r="K302" s="159"/>
      <c r="L302" s="204" t="s">
        <v>455</v>
      </c>
      <c r="N302" s="141">
        <f t="shared" si="10"/>
        <v>46</v>
      </c>
    </row>
    <row r="303" spans="1:14" ht="15">
      <c r="A303" s="159"/>
      <c r="B303" s="143" t="str">
        <f t="shared" si="9"/>
        <v>47.</v>
      </c>
      <c r="C303" s="205" t="s">
        <v>938</v>
      </c>
      <c r="D303" s="162"/>
      <c r="E303" s="163"/>
      <c r="F303" s="159"/>
      <c r="G303" s="164"/>
      <c r="H303" s="204" t="s">
        <v>940</v>
      </c>
      <c r="I303" s="211">
        <v>2009</v>
      </c>
      <c r="J303" s="208">
        <f>15000*2</f>
        <v>30000</v>
      </c>
      <c r="K303" s="159"/>
      <c r="L303" s="204" t="s">
        <v>455</v>
      </c>
      <c r="N303" s="141">
        <f t="shared" si="10"/>
        <v>47</v>
      </c>
    </row>
    <row r="304" spans="1:14" ht="15">
      <c r="A304" s="159"/>
      <c r="B304" s="143" t="str">
        <f t="shared" si="9"/>
        <v>48.</v>
      </c>
      <c r="C304" s="205" t="s">
        <v>938</v>
      </c>
      <c r="D304" s="162"/>
      <c r="E304" s="163"/>
      <c r="F304" s="159"/>
      <c r="G304" s="164"/>
      <c r="H304" s="204" t="s">
        <v>940</v>
      </c>
      <c r="I304" s="211">
        <v>2011</v>
      </c>
      <c r="J304" s="208">
        <v>0</v>
      </c>
      <c r="K304" s="159"/>
      <c r="L304" s="204" t="s">
        <v>455</v>
      </c>
      <c r="N304" s="141">
        <f t="shared" si="10"/>
        <v>48</v>
      </c>
    </row>
    <row r="305" spans="1:14" ht="15">
      <c r="A305" s="159"/>
      <c r="B305" s="143" t="str">
        <f t="shared" si="9"/>
        <v>49.</v>
      </c>
      <c r="C305" s="205" t="s">
        <v>938</v>
      </c>
      <c r="D305" s="162"/>
      <c r="E305" s="163"/>
      <c r="F305" s="159"/>
      <c r="G305" s="164"/>
      <c r="H305" s="204" t="s">
        <v>940</v>
      </c>
      <c r="I305" s="211">
        <v>2009</v>
      </c>
      <c r="J305" s="208">
        <v>0</v>
      </c>
      <c r="K305" s="159"/>
      <c r="L305" s="204" t="s">
        <v>455</v>
      </c>
      <c r="N305" s="141">
        <f t="shared" si="10"/>
        <v>49</v>
      </c>
    </row>
    <row r="306" spans="1:14" ht="15">
      <c r="A306" s="159"/>
      <c r="B306" s="143" t="str">
        <f t="shared" si="9"/>
        <v>50.</v>
      </c>
      <c r="C306" s="205" t="s">
        <v>938</v>
      </c>
      <c r="D306" s="162"/>
      <c r="E306" s="163"/>
      <c r="F306" s="159"/>
      <c r="G306" s="164"/>
      <c r="H306" s="204" t="s">
        <v>940</v>
      </c>
      <c r="I306" s="211">
        <v>2009</v>
      </c>
      <c r="J306" s="208">
        <v>0</v>
      </c>
      <c r="K306" s="159"/>
      <c r="L306" s="204" t="s">
        <v>455</v>
      </c>
      <c r="N306" s="141">
        <f t="shared" si="10"/>
        <v>50</v>
      </c>
    </row>
    <row r="307" spans="1:14" ht="15">
      <c r="A307" s="159"/>
      <c r="B307" s="143" t="str">
        <f t="shared" si="9"/>
        <v>51.</v>
      </c>
      <c r="C307" s="205" t="s">
        <v>938</v>
      </c>
      <c r="D307" s="162"/>
      <c r="E307" s="163"/>
      <c r="F307" s="159"/>
      <c r="G307" s="164"/>
      <c r="H307" s="204" t="s">
        <v>940</v>
      </c>
      <c r="I307" s="211">
        <v>2010</v>
      </c>
      <c r="J307" s="208">
        <v>0</v>
      </c>
      <c r="K307" s="159"/>
      <c r="L307" s="204" t="s">
        <v>455</v>
      </c>
      <c r="N307" s="141">
        <f t="shared" si="10"/>
        <v>51</v>
      </c>
    </row>
    <row r="308" spans="1:14" ht="15">
      <c r="A308" s="159"/>
      <c r="B308" s="143" t="str">
        <f t="shared" si="9"/>
        <v>52.</v>
      </c>
      <c r="C308" s="205" t="s">
        <v>938</v>
      </c>
      <c r="D308" s="162"/>
      <c r="E308" s="163"/>
      <c r="F308" s="159"/>
      <c r="G308" s="164"/>
      <c r="H308" s="204" t="s">
        <v>940</v>
      </c>
      <c r="I308" s="211">
        <v>2009</v>
      </c>
      <c r="J308" s="208">
        <v>0</v>
      </c>
      <c r="K308" s="159"/>
      <c r="L308" s="204" t="s">
        <v>455</v>
      </c>
      <c r="N308" s="141">
        <f t="shared" si="10"/>
        <v>52</v>
      </c>
    </row>
    <row r="309" spans="1:14" ht="15">
      <c r="A309" s="159"/>
      <c r="B309" s="143" t="str">
        <f t="shared" si="9"/>
        <v>53.</v>
      </c>
      <c r="C309" s="205" t="s">
        <v>938</v>
      </c>
      <c r="D309" s="162"/>
      <c r="E309" s="163"/>
      <c r="F309" s="159"/>
      <c r="G309" s="164"/>
      <c r="H309" s="204" t="s">
        <v>940</v>
      </c>
      <c r="I309" s="211">
        <v>2009</v>
      </c>
      <c r="J309" s="208">
        <v>0</v>
      </c>
      <c r="K309" s="159"/>
      <c r="L309" s="204" t="s">
        <v>455</v>
      </c>
      <c r="N309" s="141">
        <f t="shared" si="10"/>
        <v>53</v>
      </c>
    </row>
    <row r="310" spans="1:14" ht="15">
      <c r="A310" s="159"/>
      <c r="B310" s="143" t="str">
        <f t="shared" si="9"/>
        <v>54.</v>
      </c>
      <c r="C310" s="205" t="s">
        <v>938</v>
      </c>
      <c r="D310" s="162"/>
      <c r="E310" s="163"/>
      <c r="F310" s="159"/>
      <c r="G310" s="164"/>
      <c r="H310" s="204" t="s">
        <v>940</v>
      </c>
      <c r="I310" s="211">
        <v>2009</v>
      </c>
      <c r="J310" s="208">
        <v>0</v>
      </c>
      <c r="K310" s="159"/>
      <c r="L310" s="204" t="s">
        <v>455</v>
      </c>
      <c r="N310" s="141">
        <f t="shared" si="10"/>
        <v>54</v>
      </c>
    </row>
    <row r="311" spans="1:14" ht="15">
      <c r="A311" s="159"/>
      <c r="B311" s="143" t="str">
        <f t="shared" si="9"/>
        <v>55.</v>
      </c>
      <c r="C311" s="205" t="s">
        <v>938</v>
      </c>
      <c r="D311" s="162"/>
      <c r="E311" s="163"/>
      <c r="F311" s="159"/>
      <c r="G311" s="164"/>
      <c r="H311" s="204" t="s">
        <v>940</v>
      </c>
      <c r="I311" s="211">
        <v>2009</v>
      </c>
      <c r="J311" s="208">
        <v>0</v>
      </c>
      <c r="K311" s="159"/>
      <c r="L311" s="204" t="s">
        <v>455</v>
      </c>
      <c r="N311" s="141">
        <f t="shared" si="10"/>
        <v>55</v>
      </c>
    </row>
    <row r="312" spans="1:14" ht="15">
      <c r="A312" s="159"/>
      <c r="B312" s="143" t="str">
        <f t="shared" si="9"/>
        <v>56.</v>
      </c>
      <c r="C312" s="205" t="s">
        <v>938</v>
      </c>
      <c r="D312" s="162"/>
      <c r="E312" s="163"/>
      <c r="F312" s="159"/>
      <c r="G312" s="164"/>
      <c r="H312" s="204" t="s">
        <v>940</v>
      </c>
      <c r="I312" s="211">
        <v>2009</v>
      </c>
      <c r="J312" s="208">
        <v>0</v>
      </c>
      <c r="K312" s="159"/>
      <c r="L312" s="204" t="s">
        <v>455</v>
      </c>
      <c r="N312" s="141">
        <f t="shared" si="10"/>
        <v>56</v>
      </c>
    </row>
    <row r="313" spans="1:14" ht="15">
      <c r="A313" s="159"/>
      <c r="B313" s="143" t="str">
        <f t="shared" si="9"/>
        <v>57.</v>
      </c>
      <c r="C313" s="205" t="s">
        <v>938</v>
      </c>
      <c r="D313" s="162"/>
      <c r="E313" s="163"/>
      <c r="F313" s="159"/>
      <c r="G313" s="164"/>
      <c r="H313" s="204" t="s">
        <v>940</v>
      </c>
      <c r="I313" s="211">
        <v>2009</v>
      </c>
      <c r="J313" s="208">
        <v>0</v>
      </c>
      <c r="K313" s="159"/>
      <c r="L313" s="204" t="s">
        <v>455</v>
      </c>
      <c r="N313" s="141">
        <f t="shared" si="10"/>
        <v>57</v>
      </c>
    </row>
    <row r="314" spans="1:14" ht="15">
      <c r="A314" s="159"/>
      <c r="B314" s="143" t="str">
        <f t="shared" si="9"/>
        <v>58.</v>
      </c>
      <c r="C314" s="205" t="s">
        <v>938</v>
      </c>
      <c r="D314" s="162"/>
      <c r="E314" s="163"/>
      <c r="F314" s="159"/>
      <c r="G314" s="164"/>
      <c r="H314" s="204" t="s">
        <v>940</v>
      </c>
      <c r="I314" s="211">
        <v>2009</v>
      </c>
      <c r="J314" s="208">
        <v>0</v>
      </c>
      <c r="K314" s="159"/>
      <c r="L314" s="204" t="s">
        <v>455</v>
      </c>
      <c r="N314" s="141">
        <f t="shared" si="10"/>
        <v>58</v>
      </c>
    </row>
    <row r="315" spans="1:14" ht="15">
      <c r="A315" s="159"/>
      <c r="B315" s="143" t="str">
        <f t="shared" si="9"/>
        <v>59.</v>
      </c>
      <c r="C315" s="205" t="s">
        <v>938</v>
      </c>
      <c r="D315" s="162"/>
      <c r="E315" s="163"/>
      <c r="F315" s="159"/>
      <c r="G315" s="164"/>
      <c r="H315" s="204" t="s">
        <v>940</v>
      </c>
      <c r="I315" s="211">
        <v>2009</v>
      </c>
      <c r="J315" s="208">
        <v>0</v>
      </c>
      <c r="K315" s="159"/>
      <c r="L315" s="204" t="s">
        <v>455</v>
      </c>
      <c r="N315" s="141">
        <f t="shared" si="10"/>
        <v>59</v>
      </c>
    </row>
    <row r="316" spans="1:14" ht="15">
      <c r="A316" s="159"/>
      <c r="B316" s="143" t="str">
        <f t="shared" si="9"/>
        <v>60.</v>
      </c>
      <c r="C316" s="205" t="s">
        <v>938</v>
      </c>
      <c r="D316" s="162"/>
      <c r="E316" s="163"/>
      <c r="F316" s="159"/>
      <c r="G316" s="164"/>
      <c r="H316" s="204" t="s">
        <v>940</v>
      </c>
      <c r="I316" s="211">
        <v>2009</v>
      </c>
      <c r="J316" s="208">
        <v>0</v>
      </c>
      <c r="K316" s="159"/>
      <c r="L316" s="204" t="s">
        <v>455</v>
      </c>
      <c r="N316" s="141">
        <f t="shared" si="10"/>
        <v>60</v>
      </c>
    </row>
    <row r="317" spans="1:14" ht="15">
      <c r="A317" s="159"/>
      <c r="B317" s="143" t="str">
        <f t="shared" si="9"/>
        <v>61.</v>
      </c>
      <c r="C317" s="205" t="s">
        <v>938</v>
      </c>
      <c r="D317" s="162"/>
      <c r="E317" s="163"/>
      <c r="F317" s="159"/>
      <c r="G317" s="164"/>
      <c r="H317" s="204" t="s">
        <v>940</v>
      </c>
      <c r="I317" s="211">
        <v>2009</v>
      </c>
      <c r="J317" s="208">
        <v>0</v>
      </c>
      <c r="K317" s="159"/>
      <c r="L317" s="204" t="s">
        <v>455</v>
      </c>
      <c r="N317" s="141">
        <f t="shared" si="10"/>
        <v>61</v>
      </c>
    </row>
    <row r="318" spans="1:14" ht="15">
      <c r="A318" s="159"/>
      <c r="B318" s="143" t="str">
        <f t="shared" si="9"/>
        <v>62.</v>
      </c>
      <c r="C318" s="205" t="s">
        <v>938</v>
      </c>
      <c r="D318" s="162"/>
      <c r="E318" s="163"/>
      <c r="F318" s="159"/>
      <c r="G318" s="164"/>
      <c r="H318" s="204" t="s">
        <v>940</v>
      </c>
      <c r="I318" s="211">
        <v>2009</v>
      </c>
      <c r="J318" s="208">
        <v>0</v>
      </c>
      <c r="K318" s="159"/>
      <c r="L318" s="204" t="s">
        <v>455</v>
      </c>
      <c r="N318" s="141">
        <f t="shared" si="10"/>
        <v>62</v>
      </c>
    </row>
    <row r="319" spans="1:14" ht="15">
      <c r="A319" s="159"/>
      <c r="B319" s="143" t="str">
        <f t="shared" si="9"/>
        <v>63.</v>
      </c>
      <c r="C319" s="205" t="s">
        <v>938</v>
      </c>
      <c r="D319" s="162"/>
      <c r="E319" s="163"/>
      <c r="F319" s="159"/>
      <c r="G319" s="164"/>
      <c r="H319" s="204" t="s">
        <v>940</v>
      </c>
      <c r="I319" s="211">
        <v>2010</v>
      </c>
      <c r="J319" s="208">
        <v>0</v>
      </c>
      <c r="K319" s="159"/>
      <c r="L319" s="204" t="s">
        <v>455</v>
      </c>
      <c r="N319" s="141">
        <f t="shared" si="10"/>
        <v>63</v>
      </c>
    </row>
    <row r="320" spans="1:14" ht="15">
      <c r="A320" s="159"/>
      <c r="B320" s="143" t="str">
        <f t="shared" si="9"/>
        <v>64.</v>
      </c>
      <c r="C320" s="205" t="s">
        <v>938</v>
      </c>
      <c r="D320" s="162"/>
      <c r="E320" s="163"/>
      <c r="F320" s="159"/>
      <c r="G320" s="164"/>
      <c r="H320" s="204" t="s">
        <v>940</v>
      </c>
      <c r="I320" s="211">
        <v>2009</v>
      </c>
      <c r="J320" s="208">
        <v>0</v>
      </c>
      <c r="K320" s="159"/>
      <c r="L320" s="204" t="s">
        <v>455</v>
      </c>
      <c r="N320" s="141">
        <f t="shared" si="10"/>
        <v>64</v>
      </c>
    </row>
    <row r="321" spans="1:14" ht="15">
      <c r="A321" s="159"/>
      <c r="B321" s="143" t="str">
        <f t="shared" ref="B321:B384" si="11">N321&amp;"."</f>
        <v>65.</v>
      </c>
      <c r="C321" s="205" t="s">
        <v>938</v>
      </c>
      <c r="D321" s="162"/>
      <c r="E321" s="163"/>
      <c r="F321" s="159"/>
      <c r="G321" s="164"/>
      <c r="H321" s="204" t="s">
        <v>940</v>
      </c>
      <c r="I321" s="211">
        <v>2009</v>
      </c>
      <c r="J321" s="208">
        <f>15500*2</f>
        <v>31000</v>
      </c>
      <c r="K321" s="159"/>
      <c r="L321" s="204" t="s">
        <v>455</v>
      </c>
      <c r="N321" s="141">
        <f t="shared" si="10"/>
        <v>65</v>
      </c>
    </row>
    <row r="322" spans="1:14" ht="15">
      <c r="A322" s="159"/>
      <c r="B322" s="143" t="str">
        <f t="shared" si="11"/>
        <v>66.</v>
      </c>
      <c r="C322" s="205" t="s">
        <v>938</v>
      </c>
      <c r="D322" s="162"/>
      <c r="E322" s="163"/>
      <c r="F322" s="159"/>
      <c r="G322" s="164"/>
      <c r="H322" s="204" t="s">
        <v>940</v>
      </c>
      <c r="I322" s="211">
        <v>2010</v>
      </c>
      <c r="J322" s="208">
        <v>0</v>
      </c>
      <c r="K322" s="159"/>
      <c r="L322" s="204" t="s">
        <v>455</v>
      </c>
      <c r="N322" s="141">
        <f t="shared" si="10"/>
        <v>66</v>
      </c>
    </row>
    <row r="323" spans="1:14" ht="15">
      <c r="A323" s="159"/>
      <c r="B323" s="143" t="str">
        <f t="shared" si="11"/>
        <v>67.</v>
      </c>
      <c r="C323" s="205" t="s">
        <v>938</v>
      </c>
      <c r="D323" s="162"/>
      <c r="E323" s="163"/>
      <c r="F323" s="159"/>
      <c r="G323" s="164"/>
      <c r="H323" s="204" t="s">
        <v>940</v>
      </c>
      <c r="I323" s="211">
        <v>2010</v>
      </c>
      <c r="J323" s="208">
        <v>0</v>
      </c>
      <c r="K323" s="159"/>
      <c r="L323" s="204" t="s">
        <v>455</v>
      </c>
      <c r="N323" s="141">
        <f t="shared" ref="N323:N386" si="12">N322+1</f>
        <v>67</v>
      </c>
    </row>
    <row r="324" spans="1:14" ht="15">
      <c r="A324" s="159"/>
      <c r="B324" s="143" t="str">
        <f t="shared" si="11"/>
        <v>68.</v>
      </c>
      <c r="C324" s="205" t="s">
        <v>938</v>
      </c>
      <c r="D324" s="162"/>
      <c r="E324" s="163"/>
      <c r="F324" s="159"/>
      <c r="G324" s="164"/>
      <c r="H324" s="204" t="s">
        <v>940</v>
      </c>
      <c r="I324" s="211">
        <v>2009</v>
      </c>
      <c r="J324" s="208">
        <v>11000</v>
      </c>
      <c r="K324" s="159"/>
      <c r="L324" s="204" t="s">
        <v>455</v>
      </c>
      <c r="N324" s="141">
        <f t="shared" si="12"/>
        <v>68</v>
      </c>
    </row>
    <row r="325" spans="1:14" ht="15">
      <c r="A325" s="159"/>
      <c r="B325" s="143" t="str">
        <f t="shared" si="11"/>
        <v>69.</v>
      </c>
      <c r="C325" s="205" t="s">
        <v>938</v>
      </c>
      <c r="D325" s="162"/>
      <c r="E325" s="163"/>
      <c r="F325" s="159"/>
      <c r="G325" s="164"/>
      <c r="H325" s="204" t="s">
        <v>940</v>
      </c>
      <c r="I325" s="211">
        <v>2011</v>
      </c>
      <c r="J325" s="208">
        <v>0</v>
      </c>
      <c r="K325" s="159"/>
      <c r="L325" s="204" t="s">
        <v>455</v>
      </c>
      <c r="N325" s="141">
        <f t="shared" si="12"/>
        <v>69</v>
      </c>
    </row>
    <row r="326" spans="1:14" ht="15">
      <c r="A326" s="159"/>
      <c r="B326" s="143" t="str">
        <f t="shared" si="11"/>
        <v>70.</v>
      </c>
      <c r="C326" s="205" t="s">
        <v>938</v>
      </c>
      <c r="D326" s="162"/>
      <c r="E326" s="163"/>
      <c r="F326" s="159"/>
      <c r="G326" s="164"/>
      <c r="H326" s="204" t="s">
        <v>940</v>
      </c>
      <c r="I326" s="211">
        <v>2010</v>
      </c>
      <c r="J326" s="208">
        <v>15000</v>
      </c>
      <c r="K326" s="159"/>
      <c r="L326" s="204" t="s">
        <v>455</v>
      </c>
      <c r="N326" s="141">
        <f t="shared" si="12"/>
        <v>70</v>
      </c>
    </row>
    <row r="327" spans="1:14" ht="15">
      <c r="A327" s="159"/>
      <c r="B327" s="143" t="str">
        <f t="shared" si="11"/>
        <v>71.</v>
      </c>
      <c r="C327" s="205" t="s">
        <v>938</v>
      </c>
      <c r="D327" s="162"/>
      <c r="E327" s="163"/>
      <c r="F327" s="159"/>
      <c r="G327" s="164"/>
      <c r="H327" s="204" t="s">
        <v>940</v>
      </c>
      <c r="I327" s="211">
        <v>2010</v>
      </c>
      <c r="J327" s="208">
        <v>0</v>
      </c>
      <c r="K327" s="159"/>
      <c r="L327" s="204" t="s">
        <v>455</v>
      </c>
      <c r="N327" s="141">
        <f t="shared" si="12"/>
        <v>71</v>
      </c>
    </row>
    <row r="328" spans="1:14" ht="15">
      <c r="A328" s="159"/>
      <c r="B328" s="143" t="str">
        <f t="shared" si="11"/>
        <v>72.</v>
      </c>
      <c r="C328" s="205" t="s">
        <v>938</v>
      </c>
      <c r="D328" s="162"/>
      <c r="E328" s="163"/>
      <c r="F328" s="159"/>
      <c r="G328" s="164"/>
      <c r="H328" s="204" t="s">
        <v>940</v>
      </c>
      <c r="I328" s="211">
        <v>2010</v>
      </c>
      <c r="J328" s="208">
        <v>18000</v>
      </c>
      <c r="K328" s="159"/>
      <c r="L328" s="204" t="s">
        <v>455</v>
      </c>
      <c r="N328" s="141">
        <f t="shared" si="12"/>
        <v>72</v>
      </c>
    </row>
    <row r="329" spans="1:14" ht="15">
      <c r="A329" s="159"/>
      <c r="B329" s="143" t="str">
        <f t="shared" si="11"/>
        <v>73.</v>
      </c>
      <c r="C329" s="205" t="s">
        <v>938</v>
      </c>
      <c r="D329" s="162"/>
      <c r="E329" s="163"/>
      <c r="F329" s="159"/>
      <c r="G329" s="164"/>
      <c r="H329" s="204" t="s">
        <v>940</v>
      </c>
      <c r="I329" s="211">
        <v>2011</v>
      </c>
      <c r="J329" s="208">
        <f>15000*2</f>
        <v>30000</v>
      </c>
      <c r="K329" s="159"/>
      <c r="L329" s="204" t="s">
        <v>455</v>
      </c>
      <c r="N329" s="141">
        <f t="shared" si="12"/>
        <v>73</v>
      </c>
    </row>
    <row r="330" spans="1:14" ht="15">
      <c r="A330" s="159"/>
      <c r="B330" s="143" t="str">
        <f t="shared" si="11"/>
        <v>74.</v>
      </c>
      <c r="C330" s="205" t="s">
        <v>938</v>
      </c>
      <c r="D330" s="162"/>
      <c r="E330" s="163"/>
      <c r="F330" s="159"/>
      <c r="G330" s="164"/>
      <c r="H330" s="204" t="s">
        <v>940</v>
      </c>
      <c r="I330" s="211">
        <v>2011</v>
      </c>
      <c r="J330" s="208">
        <v>15000</v>
      </c>
      <c r="K330" s="159"/>
      <c r="L330" s="204" t="s">
        <v>455</v>
      </c>
      <c r="N330" s="141">
        <f t="shared" si="12"/>
        <v>74</v>
      </c>
    </row>
    <row r="331" spans="1:14" ht="15">
      <c r="A331" s="159"/>
      <c r="B331" s="143" t="str">
        <f t="shared" si="11"/>
        <v>75.</v>
      </c>
      <c r="C331" s="205" t="s">
        <v>938</v>
      </c>
      <c r="D331" s="162"/>
      <c r="E331" s="163"/>
      <c r="F331" s="159"/>
      <c r="G331" s="164"/>
      <c r="H331" s="204" t="s">
        <v>940</v>
      </c>
      <c r="I331" s="211">
        <v>2010</v>
      </c>
      <c r="J331" s="208">
        <f>15000*2</f>
        <v>30000</v>
      </c>
      <c r="K331" s="159"/>
      <c r="L331" s="204" t="s">
        <v>455</v>
      </c>
      <c r="N331" s="141">
        <f t="shared" si="12"/>
        <v>75</v>
      </c>
    </row>
    <row r="332" spans="1:14" ht="15">
      <c r="A332" s="159"/>
      <c r="B332" s="143" t="str">
        <f t="shared" si="11"/>
        <v>76.</v>
      </c>
      <c r="C332" s="205" t="s">
        <v>938</v>
      </c>
      <c r="D332" s="162"/>
      <c r="E332" s="163"/>
      <c r="F332" s="159"/>
      <c r="G332" s="164"/>
      <c r="H332" s="204" t="s">
        <v>940</v>
      </c>
      <c r="I332" s="211">
        <v>2011</v>
      </c>
      <c r="J332" s="208">
        <v>15000</v>
      </c>
      <c r="K332" s="159"/>
      <c r="L332" s="204" t="s">
        <v>455</v>
      </c>
      <c r="N332" s="141">
        <f t="shared" si="12"/>
        <v>76</v>
      </c>
    </row>
    <row r="333" spans="1:14" ht="15">
      <c r="A333" s="159"/>
      <c r="B333" s="143" t="str">
        <f t="shared" si="11"/>
        <v>77.</v>
      </c>
      <c r="C333" s="205" t="s">
        <v>938</v>
      </c>
      <c r="D333" s="162"/>
      <c r="E333" s="163"/>
      <c r="F333" s="159"/>
      <c r="G333" s="164"/>
      <c r="H333" s="204" t="s">
        <v>940</v>
      </c>
      <c r="I333" s="211">
        <v>2011</v>
      </c>
      <c r="J333" s="208">
        <v>15000</v>
      </c>
      <c r="K333" s="159"/>
      <c r="L333" s="204" t="s">
        <v>455</v>
      </c>
      <c r="N333" s="141">
        <f t="shared" si="12"/>
        <v>77</v>
      </c>
    </row>
    <row r="334" spans="1:14" ht="15">
      <c r="A334" s="159"/>
      <c r="B334" s="143" t="str">
        <f t="shared" si="11"/>
        <v>78.</v>
      </c>
      <c r="C334" s="205" t="s">
        <v>938</v>
      </c>
      <c r="D334" s="162"/>
      <c r="E334" s="163"/>
      <c r="F334" s="159"/>
      <c r="G334" s="164"/>
      <c r="H334" s="204" t="s">
        <v>940</v>
      </c>
      <c r="I334" s="211">
        <v>2011</v>
      </c>
      <c r="J334" s="208">
        <f>15000*2</f>
        <v>30000</v>
      </c>
      <c r="K334" s="159"/>
      <c r="L334" s="204" t="s">
        <v>455</v>
      </c>
      <c r="N334" s="141">
        <f t="shared" si="12"/>
        <v>78</v>
      </c>
    </row>
    <row r="335" spans="1:14" ht="15">
      <c r="A335" s="159"/>
      <c r="B335" s="143" t="str">
        <f t="shared" si="11"/>
        <v>79.</v>
      </c>
      <c r="C335" s="205" t="s">
        <v>938</v>
      </c>
      <c r="D335" s="162"/>
      <c r="E335" s="163"/>
      <c r="F335" s="159"/>
      <c r="G335" s="164"/>
      <c r="H335" s="204" t="s">
        <v>940</v>
      </c>
      <c r="I335" s="211">
        <v>2010</v>
      </c>
      <c r="J335" s="208">
        <v>0</v>
      </c>
      <c r="K335" s="159"/>
      <c r="L335" s="204" t="s">
        <v>455</v>
      </c>
      <c r="N335" s="141">
        <f t="shared" si="12"/>
        <v>79</v>
      </c>
    </row>
    <row r="336" spans="1:14" ht="15">
      <c r="A336" s="159"/>
      <c r="B336" s="143" t="str">
        <f t="shared" si="11"/>
        <v>80.</v>
      </c>
      <c r="C336" s="205" t="s">
        <v>938</v>
      </c>
      <c r="D336" s="162"/>
      <c r="E336" s="163"/>
      <c r="F336" s="159"/>
      <c r="G336" s="164"/>
      <c r="H336" s="204" t="s">
        <v>940</v>
      </c>
      <c r="I336" s="211">
        <v>2009</v>
      </c>
      <c r="J336" s="208">
        <v>15000</v>
      </c>
      <c r="K336" s="159"/>
      <c r="L336" s="204" t="s">
        <v>455</v>
      </c>
      <c r="N336" s="141">
        <f t="shared" si="12"/>
        <v>80</v>
      </c>
    </row>
    <row r="337" spans="1:14" ht="15">
      <c r="A337" s="159"/>
      <c r="B337" s="143" t="str">
        <f t="shared" si="11"/>
        <v>81.</v>
      </c>
      <c r="C337" s="205" t="s">
        <v>938</v>
      </c>
      <c r="D337" s="162"/>
      <c r="E337" s="163"/>
      <c r="F337" s="159"/>
      <c r="G337" s="164"/>
      <c r="H337" s="204" t="s">
        <v>940</v>
      </c>
      <c r="I337" s="211">
        <v>2009</v>
      </c>
      <c r="J337" s="208">
        <v>0</v>
      </c>
      <c r="K337" s="159"/>
      <c r="L337" s="204" t="s">
        <v>455</v>
      </c>
      <c r="N337" s="141">
        <f t="shared" si="12"/>
        <v>81</v>
      </c>
    </row>
    <row r="338" spans="1:14" ht="15">
      <c r="A338" s="159"/>
      <c r="B338" s="143" t="str">
        <f t="shared" si="11"/>
        <v>82.</v>
      </c>
      <c r="C338" s="205" t="s">
        <v>938</v>
      </c>
      <c r="D338" s="162"/>
      <c r="E338" s="163"/>
      <c r="F338" s="159"/>
      <c r="G338" s="164"/>
      <c r="H338" s="204" t="s">
        <v>940</v>
      </c>
      <c r="I338" s="211">
        <v>2010</v>
      </c>
      <c r="J338" s="208">
        <v>0</v>
      </c>
      <c r="K338" s="159"/>
      <c r="L338" s="204" t="s">
        <v>455</v>
      </c>
      <c r="N338" s="141">
        <f t="shared" si="12"/>
        <v>82</v>
      </c>
    </row>
    <row r="339" spans="1:14" ht="15">
      <c r="A339" s="159"/>
      <c r="B339" s="143" t="str">
        <f t="shared" si="11"/>
        <v>83.</v>
      </c>
      <c r="C339" s="205" t="s">
        <v>938</v>
      </c>
      <c r="D339" s="162"/>
      <c r="E339" s="163"/>
      <c r="F339" s="159"/>
      <c r="G339" s="164"/>
      <c r="H339" s="204" t="s">
        <v>940</v>
      </c>
      <c r="I339" s="211">
        <v>2010</v>
      </c>
      <c r="J339" s="208">
        <v>0</v>
      </c>
      <c r="K339" s="159"/>
      <c r="L339" s="204" t="s">
        <v>455</v>
      </c>
      <c r="N339" s="141">
        <f t="shared" si="12"/>
        <v>83</v>
      </c>
    </row>
    <row r="340" spans="1:14" ht="15">
      <c r="A340" s="159"/>
      <c r="B340" s="143" t="str">
        <f t="shared" si="11"/>
        <v>84.</v>
      </c>
      <c r="C340" s="205" t="s">
        <v>938</v>
      </c>
      <c r="D340" s="162"/>
      <c r="E340" s="163"/>
      <c r="F340" s="159"/>
      <c r="G340" s="164"/>
      <c r="H340" s="204" t="s">
        <v>940</v>
      </c>
      <c r="I340" s="211">
        <v>2009</v>
      </c>
      <c r="J340" s="208">
        <v>23500</v>
      </c>
      <c r="K340" s="159"/>
      <c r="L340" s="204" t="s">
        <v>455</v>
      </c>
      <c r="N340" s="141">
        <f t="shared" si="12"/>
        <v>84</v>
      </c>
    </row>
    <row r="341" spans="1:14" ht="15">
      <c r="A341" s="159"/>
      <c r="B341" s="143" t="str">
        <f t="shared" si="11"/>
        <v>85.</v>
      </c>
      <c r="C341" s="205" t="s">
        <v>938</v>
      </c>
      <c r="D341" s="162"/>
      <c r="E341" s="163"/>
      <c r="F341" s="159"/>
      <c r="G341" s="164"/>
      <c r="H341" s="204" t="s">
        <v>940</v>
      </c>
      <c r="I341" s="211">
        <v>2010</v>
      </c>
      <c r="J341" s="208">
        <v>0</v>
      </c>
      <c r="K341" s="159"/>
      <c r="L341" s="204" t="s">
        <v>455</v>
      </c>
      <c r="N341" s="141">
        <f t="shared" si="12"/>
        <v>85</v>
      </c>
    </row>
    <row r="342" spans="1:14" ht="15">
      <c r="A342" s="159"/>
      <c r="B342" s="143" t="str">
        <f t="shared" si="11"/>
        <v>86.</v>
      </c>
      <c r="C342" s="205" t="s">
        <v>938</v>
      </c>
      <c r="D342" s="162"/>
      <c r="E342" s="163"/>
      <c r="F342" s="159"/>
      <c r="G342" s="164"/>
      <c r="H342" s="204" t="s">
        <v>940</v>
      </c>
      <c r="I342" s="211">
        <v>2011</v>
      </c>
      <c r="J342" s="208">
        <f>15000*2</f>
        <v>30000</v>
      </c>
      <c r="K342" s="159"/>
      <c r="L342" s="204" t="s">
        <v>455</v>
      </c>
      <c r="N342" s="141">
        <f t="shared" si="12"/>
        <v>86</v>
      </c>
    </row>
    <row r="343" spans="1:14" ht="15">
      <c r="A343" s="159"/>
      <c r="B343" s="143" t="str">
        <f t="shared" si="11"/>
        <v>87.</v>
      </c>
      <c r="C343" s="205" t="s">
        <v>938</v>
      </c>
      <c r="D343" s="162"/>
      <c r="E343" s="163"/>
      <c r="F343" s="159"/>
      <c r="G343" s="164"/>
      <c r="H343" s="204" t="s">
        <v>940</v>
      </c>
      <c r="I343" s="211">
        <v>2009</v>
      </c>
      <c r="J343" s="208">
        <f>21000*2</f>
        <v>42000</v>
      </c>
      <c r="K343" s="159"/>
      <c r="L343" s="204" t="s">
        <v>455</v>
      </c>
      <c r="N343" s="141">
        <f t="shared" si="12"/>
        <v>87</v>
      </c>
    </row>
    <row r="344" spans="1:14" ht="15">
      <c r="A344" s="159"/>
      <c r="B344" s="143" t="str">
        <f t="shared" si="11"/>
        <v>88.</v>
      </c>
      <c r="C344" s="205" t="s">
        <v>938</v>
      </c>
      <c r="D344" s="162"/>
      <c r="E344" s="163"/>
      <c r="F344" s="159"/>
      <c r="G344" s="164"/>
      <c r="H344" s="204" t="s">
        <v>940</v>
      </c>
      <c r="I344" s="211">
        <v>2009</v>
      </c>
      <c r="J344" s="208">
        <v>0</v>
      </c>
      <c r="K344" s="159"/>
      <c r="L344" s="204" t="s">
        <v>455</v>
      </c>
      <c r="N344" s="141">
        <f t="shared" si="12"/>
        <v>88</v>
      </c>
    </row>
    <row r="345" spans="1:14" ht="15">
      <c r="A345" s="159"/>
      <c r="B345" s="143" t="str">
        <f t="shared" si="11"/>
        <v>89.</v>
      </c>
      <c r="C345" s="205" t="s">
        <v>938</v>
      </c>
      <c r="D345" s="162"/>
      <c r="E345" s="163"/>
      <c r="F345" s="159"/>
      <c r="G345" s="164"/>
      <c r="H345" s="204" t="s">
        <v>940</v>
      </c>
      <c r="I345" s="211">
        <v>2009</v>
      </c>
      <c r="J345" s="208">
        <v>0</v>
      </c>
      <c r="K345" s="159"/>
      <c r="L345" s="204" t="s">
        <v>455</v>
      </c>
      <c r="N345" s="141">
        <f t="shared" si="12"/>
        <v>89</v>
      </c>
    </row>
    <row r="346" spans="1:14" ht="15">
      <c r="A346" s="159"/>
      <c r="B346" s="143" t="str">
        <f t="shared" si="11"/>
        <v>90.</v>
      </c>
      <c r="C346" s="205" t="s">
        <v>938</v>
      </c>
      <c r="D346" s="162"/>
      <c r="E346" s="163"/>
      <c r="F346" s="159"/>
      <c r="G346" s="164"/>
      <c r="H346" s="204" t="s">
        <v>940</v>
      </c>
      <c r="I346" s="211">
        <v>2010</v>
      </c>
      <c r="J346" s="208">
        <f>28000*2</f>
        <v>56000</v>
      </c>
      <c r="K346" s="159"/>
      <c r="L346" s="204" t="s">
        <v>455</v>
      </c>
      <c r="N346" s="141">
        <f t="shared" si="12"/>
        <v>90</v>
      </c>
    </row>
    <row r="347" spans="1:14" ht="15">
      <c r="A347" s="159"/>
      <c r="B347" s="143" t="str">
        <f t="shared" si="11"/>
        <v>91.</v>
      </c>
      <c r="C347" s="205" t="s">
        <v>938</v>
      </c>
      <c r="D347" s="162"/>
      <c r="E347" s="163"/>
      <c r="F347" s="159"/>
      <c r="G347" s="164"/>
      <c r="H347" s="204" t="s">
        <v>940</v>
      </c>
      <c r="I347" s="211">
        <v>2009</v>
      </c>
      <c r="J347" s="208">
        <v>0</v>
      </c>
      <c r="K347" s="159"/>
      <c r="L347" s="204" t="s">
        <v>455</v>
      </c>
      <c r="N347" s="141">
        <f t="shared" si="12"/>
        <v>91</v>
      </c>
    </row>
    <row r="348" spans="1:14" ht="15">
      <c r="A348" s="159"/>
      <c r="B348" s="143" t="str">
        <f t="shared" si="11"/>
        <v>92.</v>
      </c>
      <c r="C348" s="205" t="s">
        <v>938</v>
      </c>
      <c r="D348" s="162"/>
      <c r="E348" s="163"/>
      <c r="F348" s="159"/>
      <c r="G348" s="164"/>
      <c r="H348" s="204" t="s">
        <v>940</v>
      </c>
      <c r="I348" s="211">
        <v>2009</v>
      </c>
      <c r="J348" s="208">
        <f>15000*2</f>
        <v>30000</v>
      </c>
      <c r="K348" s="159"/>
      <c r="L348" s="204" t="s">
        <v>455</v>
      </c>
      <c r="N348" s="141">
        <f t="shared" si="12"/>
        <v>92</v>
      </c>
    </row>
    <row r="349" spans="1:14" ht="15">
      <c r="A349" s="159"/>
      <c r="B349" s="143" t="str">
        <f t="shared" si="11"/>
        <v>93.</v>
      </c>
      <c r="C349" s="205" t="s">
        <v>938</v>
      </c>
      <c r="D349" s="162"/>
      <c r="E349" s="163"/>
      <c r="F349" s="159"/>
      <c r="G349" s="164"/>
      <c r="H349" s="204" t="s">
        <v>940</v>
      </c>
      <c r="I349" s="211">
        <v>2010</v>
      </c>
      <c r="J349" s="208">
        <v>15000</v>
      </c>
      <c r="K349" s="159"/>
      <c r="L349" s="204" t="s">
        <v>455</v>
      </c>
      <c r="N349" s="141">
        <f t="shared" si="12"/>
        <v>93</v>
      </c>
    </row>
    <row r="350" spans="1:14" ht="15">
      <c r="A350" s="159"/>
      <c r="B350" s="143" t="str">
        <f t="shared" si="11"/>
        <v>94.</v>
      </c>
      <c r="C350" s="205" t="s">
        <v>938</v>
      </c>
      <c r="D350" s="162"/>
      <c r="E350" s="163"/>
      <c r="F350" s="159"/>
      <c r="G350" s="164"/>
      <c r="H350" s="204" t="s">
        <v>940</v>
      </c>
      <c r="I350" s="211">
        <v>2011</v>
      </c>
      <c r="J350" s="208">
        <v>13000</v>
      </c>
      <c r="K350" s="159"/>
      <c r="L350" s="204" t="s">
        <v>455</v>
      </c>
      <c r="N350" s="141">
        <f t="shared" si="12"/>
        <v>94</v>
      </c>
    </row>
    <row r="351" spans="1:14" ht="15">
      <c r="A351" s="159"/>
      <c r="B351" s="143" t="str">
        <f t="shared" si="11"/>
        <v>95.</v>
      </c>
      <c r="C351" s="205" t="s">
        <v>938</v>
      </c>
      <c r="D351" s="162"/>
      <c r="E351" s="163"/>
      <c r="F351" s="159"/>
      <c r="G351" s="164"/>
      <c r="H351" s="204" t="s">
        <v>940</v>
      </c>
      <c r="I351" s="211">
        <v>2009</v>
      </c>
      <c r="J351" s="208">
        <f>27400*2</f>
        <v>54800</v>
      </c>
      <c r="K351" s="159"/>
      <c r="L351" s="204" t="s">
        <v>455</v>
      </c>
      <c r="N351" s="141">
        <f t="shared" si="12"/>
        <v>95</v>
      </c>
    </row>
    <row r="352" spans="1:14" ht="15">
      <c r="A352" s="159"/>
      <c r="B352" s="143" t="str">
        <f t="shared" si="11"/>
        <v>96.</v>
      </c>
      <c r="C352" s="205" t="s">
        <v>938</v>
      </c>
      <c r="D352" s="162"/>
      <c r="E352" s="163"/>
      <c r="F352" s="159"/>
      <c r="G352" s="164"/>
      <c r="H352" s="204" t="s">
        <v>940</v>
      </c>
      <c r="I352" s="211">
        <v>2011</v>
      </c>
      <c r="J352" s="208">
        <f>33900*2</f>
        <v>67800</v>
      </c>
      <c r="K352" s="159"/>
      <c r="L352" s="204" t="s">
        <v>455</v>
      </c>
      <c r="N352" s="141">
        <f t="shared" si="12"/>
        <v>96</v>
      </c>
    </row>
    <row r="353" spans="1:14" ht="15">
      <c r="A353" s="159"/>
      <c r="B353" s="143" t="str">
        <f t="shared" si="11"/>
        <v>97.</v>
      </c>
      <c r="C353" s="205" t="s">
        <v>938</v>
      </c>
      <c r="D353" s="162"/>
      <c r="E353" s="163"/>
      <c r="F353" s="159"/>
      <c r="G353" s="164"/>
      <c r="H353" s="204" t="s">
        <v>940</v>
      </c>
      <c r="I353" s="211">
        <v>2010</v>
      </c>
      <c r="J353" s="208">
        <v>0</v>
      </c>
      <c r="K353" s="159"/>
      <c r="L353" s="204" t="s">
        <v>455</v>
      </c>
      <c r="N353" s="141">
        <f t="shared" si="12"/>
        <v>97</v>
      </c>
    </row>
    <row r="354" spans="1:14" ht="15">
      <c r="A354" s="159"/>
      <c r="B354" s="143" t="str">
        <f t="shared" si="11"/>
        <v>98.</v>
      </c>
      <c r="C354" s="205" t="s">
        <v>938</v>
      </c>
      <c r="D354" s="162"/>
      <c r="E354" s="163"/>
      <c r="F354" s="159"/>
      <c r="G354" s="164"/>
      <c r="H354" s="204" t="s">
        <v>940</v>
      </c>
      <c r="I354" s="211">
        <v>2009</v>
      </c>
      <c r="J354" s="208">
        <f>35000*2</f>
        <v>70000</v>
      </c>
      <c r="K354" s="159"/>
      <c r="L354" s="204" t="s">
        <v>455</v>
      </c>
      <c r="N354" s="141">
        <f t="shared" si="12"/>
        <v>98</v>
      </c>
    </row>
    <row r="355" spans="1:14" ht="15">
      <c r="A355" s="159"/>
      <c r="B355" s="143" t="str">
        <f t="shared" si="11"/>
        <v>99.</v>
      </c>
      <c r="C355" s="205" t="s">
        <v>938</v>
      </c>
      <c r="D355" s="162"/>
      <c r="E355" s="163"/>
      <c r="F355" s="159"/>
      <c r="G355" s="164"/>
      <c r="H355" s="204" t="s">
        <v>940</v>
      </c>
      <c r="I355" s="211">
        <v>2010</v>
      </c>
      <c r="J355" s="208">
        <v>35000</v>
      </c>
      <c r="K355" s="159"/>
      <c r="L355" s="204" t="s">
        <v>455</v>
      </c>
      <c r="N355" s="141">
        <f t="shared" si="12"/>
        <v>99</v>
      </c>
    </row>
    <row r="356" spans="1:14" ht="15">
      <c r="A356" s="159"/>
      <c r="B356" s="143" t="str">
        <f t="shared" si="11"/>
        <v>100.</v>
      </c>
      <c r="C356" s="205" t="s">
        <v>938</v>
      </c>
      <c r="D356" s="162"/>
      <c r="E356" s="163"/>
      <c r="F356" s="159"/>
      <c r="G356" s="164"/>
      <c r="H356" s="204" t="s">
        <v>940</v>
      </c>
      <c r="I356" s="211">
        <v>2009</v>
      </c>
      <c r="J356" s="208">
        <v>0</v>
      </c>
      <c r="K356" s="159"/>
      <c r="L356" s="204" t="s">
        <v>455</v>
      </c>
      <c r="N356" s="141">
        <f t="shared" si="12"/>
        <v>100</v>
      </c>
    </row>
    <row r="357" spans="1:14" ht="15">
      <c r="A357" s="159"/>
      <c r="B357" s="143" t="str">
        <f t="shared" si="11"/>
        <v>101.</v>
      </c>
      <c r="C357" s="205" t="s">
        <v>938</v>
      </c>
      <c r="D357" s="162"/>
      <c r="E357" s="163"/>
      <c r="F357" s="159"/>
      <c r="G357" s="164"/>
      <c r="H357" s="204" t="s">
        <v>940</v>
      </c>
      <c r="I357" s="211">
        <v>2010</v>
      </c>
      <c r="J357" s="208">
        <v>0</v>
      </c>
      <c r="K357" s="159"/>
      <c r="L357" s="204" t="s">
        <v>455</v>
      </c>
      <c r="N357" s="141">
        <f t="shared" si="12"/>
        <v>101</v>
      </c>
    </row>
    <row r="358" spans="1:14" ht="15">
      <c r="A358" s="159"/>
      <c r="B358" s="143" t="str">
        <f t="shared" si="11"/>
        <v>102.</v>
      </c>
      <c r="C358" s="205" t="s">
        <v>938</v>
      </c>
      <c r="D358" s="162"/>
      <c r="E358" s="163"/>
      <c r="F358" s="159"/>
      <c r="G358" s="164"/>
      <c r="H358" s="204" t="s">
        <v>940</v>
      </c>
      <c r="I358" s="211">
        <v>2010</v>
      </c>
      <c r="J358" s="208">
        <v>0</v>
      </c>
      <c r="K358" s="159"/>
      <c r="L358" s="204" t="s">
        <v>455</v>
      </c>
      <c r="N358" s="141">
        <f t="shared" si="12"/>
        <v>102</v>
      </c>
    </row>
    <row r="359" spans="1:14" ht="15">
      <c r="A359" s="159"/>
      <c r="B359" s="143" t="str">
        <f t="shared" si="11"/>
        <v>103.</v>
      </c>
      <c r="C359" s="205" t="s">
        <v>938</v>
      </c>
      <c r="D359" s="162"/>
      <c r="E359" s="163"/>
      <c r="F359" s="159"/>
      <c r="G359" s="164"/>
      <c r="H359" s="204" t="s">
        <v>940</v>
      </c>
      <c r="I359" s="211">
        <v>2009</v>
      </c>
      <c r="J359" s="208">
        <v>0</v>
      </c>
      <c r="K359" s="159"/>
      <c r="L359" s="204" t="s">
        <v>455</v>
      </c>
      <c r="N359" s="141">
        <f t="shared" si="12"/>
        <v>103</v>
      </c>
    </row>
    <row r="360" spans="1:14" ht="15">
      <c r="A360" s="159"/>
      <c r="B360" s="143" t="str">
        <f t="shared" si="11"/>
        <v>104.</v>
      </c>
      <c r="C360" s="205" t="s">
        <v>938</v>
      </c>
      <c r="D360" s="162"/>
      <c r="E360" s="163"/>
      <c r="F360" s="159"/>
      <c r="G360" s="164"/>
      <c r="H360" s="204" t="s">
        <v>940</v>
      </c>
      <c r="I360" s="211">
        <v>2010</v>
      </c>
      <c r="J360" s="208">
        <v>0</v>
      </c>
      <c r="K360" s="159"/>
      <c r="L360" s="204" t="s">
        <v>455</v>
      </c>
      <c r="N360" s="141">
        <f t="shared" si="12"/>
        <v>104</v>
      </c>
    </row>
    <row r="361" spans="1:14" ht="15">
      <c r="A361" s="159"/>
      <c r="B361" s="143" t="str">
        <f t="shared" si="11"/>
        <v>105.</v>
      </c>
      <c r="C361" s="205" t="s">
        <v>938</v>
      </c>
      <c r="D361" s="162"/>
      <c r="E361" s="163"/>
      <c r="F361" s="159"/>
      <c r="G361" s="164"/>
      <c r="H361" s="204" t="s">
        <v>940</v>
      </c>
      <c r="I361" s="211">
        <v>2010</v>
      </c>
      <c r="J361" s="208">
        <v>0</v>
      </c>
      <c r="K361" s="159"/>
      <c r="L361" s="204" t="s">
        <v>455</v>
      </c>
      <c r="N361" s="141">
        <f t="shared" si="12"/>
        <v>105</v>
      </c>
    </row>
    <row r="362" spans="1:14" ht="15">
      <c r="A362" s="159"/>
      <c r="B362" s="143" t="str">
        <f t="shared" si="11"/>
        <v>106.</v>
      </c>
      <c r="C362" s="205" t="s">
        <v>938</v>
      </c>
      <c r="D362" s="162"/>
      <c r="E362" s="163"/>
      <c r="F362" s="159"/>
      <c r="G362" s="164"/>
      <c r="H362" s="204" t="s">
        <v>940</v>
      </c>
      <c r="I362" s="211">
        <v>2010</v>
      </c>
      <c r="J362" s="208">
        <v>0</v>
      </c>
      <c r="K362" s="159"/>
      <c r="L362" s="204" t="s">
        <v>455</v>
      </c>
      <c r="N362" s="141">
        <f t="shared" si="12"/>
        <v>106</v>
      </c>
    </row>
    <row r="363" spans="1:14" ht="15">
      <c r="A363" s="159"/>
      <c r="B363" s="143" t="str">
        <f t="shared" si="11"/>
        <v>107.</v>
      </c>
      <c r="C363" s="205" t="s">
        <v>938</v>
      </c>
      <c r="D363" s="162"/>
      <c r="E363" s="163"/>
      <c r="F363" s="159"/>
      <c r="G363" s="164"/>
      <c r="H363" s="204" t="s">
        <v>940</v>
      </c>
      <c r="I363" s="211">
        <v>2010</v>
      </c>
      <c r="J363" s="208">
        <v>0</v>
      </c>
      <c r="K363" s="159"/>
      <c r="L363" s="204" t="s">
        <v>455</v>
      </c>
      <c r="N363" s="141">
        <f t="shared" si="12"/>
        <v>107</v>
      </c>
    </row>
    <row r="364" spans="1:14" ht="15">
      <c r="A364" s="159"/>
      <c r="B364" s="143" t="str">
        <f t="shared" si="11"/>
        <v>108.</v>
      </c>
      <c r="C364" s="205" t="s">
        <v>938</v>
      </c>
      <c r="D364" s="162"/>
      <c r="E364" s="163"/>
      <c r="F364" s="159"/>
      <c r="G364" s="164"/>
      <c r="H364" s="204" t="s">
        <v>940</v>
      </c>
      <c r="I364" s="211">
        <v>2011</v>
      </c>
      <c r="J364" s="208">
        <v>0</v>
      </c>
      <c r="K364" s="159"/>
      <c r="L364" s="204" t="s">
        <v>455</v>
      </c>
      <c r="N364" s="141">
        <f t="shared" si="12"/>
        <v>108</v>
      </c>
    </row>
    <row r="365" spans="1:14" ht="15">
      <c r="A365" s="159"/>
      <c r="B365" s="143" t="str">
        <f t="shared" si="11"/>
        <v>109.</v>
      </c>
      <c r="C365" s="205" t="s">
        <v>938</v>
      </c>
      <c r="D365" s="162"/>
      <c r="E365" s="163"/>
      <c r="F365" s="159"/>
      <c r="G365" s="164"/>
      <c r="H365" s="204" t="s">
        <v>940</v>
      </c>
      <c r="I365" s="211">
        <v>2009</v>
      </c>
      <c r="J365" s="208">
        <v>0</v>
      </c>
      <c r="K365" s="159"/>
      <c r="L365" s="204" t="s">
        <v>455</v>
      </c>
      <c r="N365" s="141">
        <f t="shared" si="12"/>
        <v>109</v>
      </c>
    </row>
    <row r="366" spans="1:14" ht="15">
      <c r="A366" s="159"/>
      <c r="B366" s="143" t="str">
        <f t="shared" si="11"/>
        <v>110.</v>
      </c>
      <c r="C366" s="205" t="s">
        <v>938</v>
      </c>
      <c r="D366" s="162"/>
      <c r="E366" s="163"/>
      <c r="F366" s="159"/>
      <c r="G366" s="164"/>
      <c r="H366" s="204" t="s">
        <v>940</v>
      </c>
      <c r="I366" s="211">
        <v>2010</v>
      </c>
      <c r="J366" s="208">
        <v>0</v>
      </c>
      <c r="K366" s="159"/>
      <c r="L366" s="204" t="s">
        <v>455</v>
      </c>
      <c r="N366" s="141">
        <f t="shared" si="12"/>
        <v>110</v>
      </c>
    </row>
    <row r="367" spans="1:14" ht="15">
      <c r="A367" s="159"/>
      <c r="B367" s="143" t="str">
        <f t="shared" si="11"/>
        <v>111.</v>
      </c>
      <c r="C367" s="205" t="s">
        <v>938</v>
      </c>
      <c r="D367" s="162"/>
      <c r="E367" s="163"/>
      <c r="F367" s="159"/>
      <c r="G367" s="164"/>
      <c r="H367" s="204" t="s">
        <v>940</v>
      </c>
      <c r="I367" s="211">
        <v>2010</v>
      </c>
      <c r="J367" s="208">
        <v>0</v>
      </c>
      <c r="K367" s="159"/>
      <c r="L367" s="204" t="s">
        <v>455</v>
      </c>
      <c r="N367" s="141">
        <f t="shared" si="12"/>
        <v>111</v>
      </c>
    </row>
    <row r="368" spans="1:14" ht="15">
      <c r="A368" s="159"/>
      <c r="B368" s="143" t="str">
        <f t="shared" si="11"/>
        <v>112.</v>
      </c>
      <c r="C368" s="205" t="s">
        <v>938</v>
      </c>
      <c r="D368" s="162"/>
      <c r="E368" s="163"/>
      <c r="F368" s="159"/>
      <c r="G368" s="164"/>
      <c r="H368" s="204" t="s">
        <v>940</v>
      </c>
      <c r="I368" s="211">
        <v>2010</v>
      </c>
      <c r="J368" s="208">
        <v>0</v>
      </c>
      <c r="K368" s="159"/>
      <c r="L368" s="204" t="s">
        <v>455</v>
      </c>
      <c r="N368" s="141">
        <f t="shared" si="12"/>
        <v>112</v>
      </c>
    </row>
    <row r="369" spans="1:14" ht="15">
      <c r="A369" s="159"/>
      <c r="B369" s="143" t="str">
        <f t="shared" si="11"/>
        <v>113.</v>
      </c>
      <c r="C369" s="205" t="s">
        <v>938</v>
      </c>
      <c r="D369" s="162"/>
      <c r="E369" s="163"/>
      <c r="F369" s="159"/>
      <c r="G369" s="164"/>
      <c r="H369" s="204" t="s">
        <v>940</v>
      </c>
      <c r="I369" s="211">
        <v>2010</v>
      </c>
      <c r="J369" s="208">
        <f>28800*2</f>
        <v>57600</v>
      </c>
      <c r="K369" s="159"/>
      <c r="L369" s="204" t="s">
        <v>455</v>
      </c>
      <c r="N369" s="141">
        <f t="shared" si="12"/>
        <v>113</v>
      </c>
    </row>
    <row r="370" spans="1:14" ht="15">
      <c r="A370" s="159"/>
      <c r="B370" s="143" t="str">
        <f t="shared" si="11"/>
        <v>114.</v>
      </c>
      <c r="C370" s="205" t="s">
        <v>938</v>
      </c>
      <c r="D370" s="162"/>
      <c r="E370" s="163"/>
      <c r="F370" s="159"/>
      <c r="G370" s="164"/>
      <c r="H370" s="204" t="s">
        <v>940</v>
      </c>
      <c r="I370" s="211">
        <v>2009</v>
      </c>
      <c r="J370" s="208">
        <v>0</v>
      </c>
      <c r="K370" s="159"/>
      <c r="L370" s="204" t="s">
        <v>455</v>
      </c>
      <c r="N370" s="141">
        <f t="shared" si="12"/>
        <v>114</v>
      </c>
    </row>
    <row r="371" spans="1:14" ht="15">
      <c r="A371" s="159"/>
      <c r="B371" s="143" t="str">
        <f t="shared" si="11"/>
        <v>115.</v>
      </c>
      <c r="C371" s="205" t="s">
        <v>938</v>
      </c>
      <c r="D371" s="162"/>
      <c r="E371" s="163"/>
      <c r="F371" s="159"/>
      <c r="G371" s="164"/>
      <c r="H371" s="204" t="s">
        <v>940</v>
      </c>
      <c r="I371" s="211">
        <v>2009</v>
      </c>
      <c r="J371" s="208">
        <v>0</v>
      </c>
      <c r="K371" s="159"/>
      <c r="L371" s="204" t="s">
        <v>455</v>
      </c>
      <c r="N371" s="141">
        <f t="shared" si="12"/>
        <v>115</v>
      </c>
    </row>
    <row r="372" spans="1:14" ht="15">
      <c r="A372" s="159"/>
      <c r="B372" s="143" t="str">
        <f t="shared" si="11"/>
        <v>116.</v>
      </c>
      <c r="C372" s="205" t="s">
        <v>938</v>
      </c>
      <c r="D372" s="162"/>
      <c r="E372" s="163"/>
      <c r="F372" s="159"/>
      <c r="G372" s="164"/>
      <c r="H372" s="204" t="s">
        <v>940</v>
      </c>
      <c r="I372" s="211">
        <v>2009</v>
      </c>
      <c r="J372" s="208">
        <v>0</v>
      </c>
      <c r="K372" s="159"/>
      <c r="L372" s="204" t="s">
        <v>455</v>
      </c>
      <c r="N372" s="141">
        <f t="shared" si="12"/>
        <v>116</v>
      </c>
    </row>
    <row r="373" spans="1:14" ht="15">
      <c r="A373" s="159"/>
      <c r="B373" s="143" t="str">
        <f t="shared" si="11"/>
        <v>117.</v>
      </c>
      <c r="C373" s="205" t="s">
        <v>938</v>
      </c>
      <c r="D373" s="162"/>
      <c r="E373" s="163"/>
      <c r="F373" s="159"/>
      <c r="G373" s="164"/>
      <c r="H373" s="204" t="s">
        <v>940</v>
      </c>
      <c r="I373" s="211">
        <v>2010</v>
      </c>
      <c r="J373" s="208">
        <v>20000</v>
      </c>
      <c r="K373" s="159"/>
      <c r="L373" s="204" t="s">
        <v>455</v>
      </c>
      <c r="N373" s="141">
        <f t="shared" si="12"/>
        <v>117</v>
      </c>
    </row>
    <row r="374" spans="1:14" ht="15">
      <c r="A374" s="159"/>
      <c r="B374" s="143" t="str">
        <f t="shared" si="11"/>
        <v>118.</v>
      </c>
      <c r="C374" s="205" t="s">
        <v>938</v>
      </c>
      <c r="D374" s="162"/>
      <c r="E374" s="163"/>
      <c r="F374" s="159"/>
      <c r="G374" s="164"/>
      <c r="H374" s="204" t="s">
        <v>940</v>
      </c>
      <c r="I374" s="211">
        <v>2009</v>
      </c>
      <c r="J374" s="208">
        <v>0</v>
      </c>
      <c r="K374" s="159"/>
      <c r="L374" s="204" t="s">
        <v>455</v>
      </c>
      <c r="N374" s="141">
        <f t="shared" si="12"/>
        <v>118</v>
      </c>
    </row>
    <row r="375" spans="1:14" ht="15">
      <c r="A375" s="159"/>
      <c r="B375" s="143" t="str">
        <f t="shared" si="11"/>
        <v>119.</v>
      </c>
      <c r="C375" s="205" t="s">
        <v>938</v>
      </c>
      <c r="D375" s="162"/>
      <c r="E375" s="163"/>
      <c r="F375" s="159"/>
      <c r="G375" s="164"/>
      <c r="H375" s="204" t="s">
        <v>940</v>
      </c>
      <c r="I375" s="211">
        <v>2009</v>
      </c>
      <c r="J375" s="208">
        <v>0</v>
      </c>
      <c r="K375" s="159"/>
      <c r="L375" s="204" t="s">
        <v>455</v>
      </c>
      <c r="N375" s="141">
        <f t="shared" si="12"/>
        <v>119</v>
      </c>
    </row>
    <row r="376" spans="1:14" ht="15">
      <c r="A376" s="159"/>
      <c r="B376" s="143" t="str">
        <f t="shared" si="11"/>
        <v>120.</v>
      </c>
      <c r="C376" s="205" t="s">
        <v>938</v>
      </c>
      <c r="D376" s="162"/>
      <c r="E376" s="163"/>
      <c r="F376" s="159"/>
      <c r="G376" s="164"/>
      <c r="H376" s="204" t="s">
        <v>940</v>
      </c>
      <c r="I376" s="211">
        <v>2009</v>
      </c>
      <c r="J376" s="208">
        <v>0</v>
      </c>
      <c r="K376" s="159"/>
      <c r="L376" s="204" t="s">
        <v>455</v>
      </c>
      <c r="N376" s="141">
        <f t="shared" si="12"/>
        <v>120</v>
      </c>
    </row>
    <row r="377" spans="1:14" ht="15">
      <c r="A377" s="159"/>
      <c r="B377" s="143" t="str">
        <f t="shared" si="11"/>
        <v>121.</v>
      </c>
      <c r="C377" s="205" t="s">
        <v>938</v>
      </c>
      <c r="D377" s="162"/>
      <c r="E377" s="163"/>
      <c r="F377" s="159"/>
      <c r="G377" s="164"/>
      <c r="H377" s="204" t="s">
        <v>940</v>
      </c>
      <c r="I377" s="211">
        <v>2010</v>
      </c>
      <c r="J377" s="208">
        <v>0</v>
      </c>
      <c r="K377" s="159"/>
      <c r="L377" s="204" t="s">
        <v>455</v>
      </c>
      <c r="N377" s="141">
        <f t="shared" si="12"/>
        <v>121</v>
      </c>
    </row>
    <row r="378" spans="1:14" ht="15">
      <c r="A378" s="159"/>
      <c r="B378" s="143" t="str">
        <f t="shared" si="11"/>
        <v>122.</v>
      </c>
      <c r="C378" s="205" t="s">
        <v>938</v>
      </c>
      <c r="D378" s="162"/>
      <c r="E378" s="163"/>
      <c r="F378" s="159"/>
      <c r="G378" s="164"/>
      <c r="H378" s="204" t="s">
        <v>940</v>
      </c>
      <c r="I378" s="211">
        <v>2011</v>
      </c>
      <c r="J378" s="208">
        <v>0</v>
      </c>
      <c r="K378" s="159"/>
      <c r="L378" s="204" t="s">
        <v>455</v>
      </c>
      <c r="N378" s="141">
        <f t="shared" si="12"/>
        <v>122</v>
      </c>
    </row>
    <row r="379" spans="1:14" ht="15">
      <c r="A379" s="159"/>
      <c r="B379" s="143" t="str">
        <f t="shared" si="11"/>
        <v>123.</v>
      </c>
      <c r="C379" s="205" t="s">
        <v>938</v>
      </c>
      <c r="D379" s="162"/>
      <c r="E379" s="163"/>
      <c r="F379" s="159"/>
      <c r="G379" s="164"/>
      <c r="H379" s="204" t="s">
        <v>940</v>
      </c>
      <c r="I379" s="211">
        <v>2010</v>
      </c>
      <c r="J379" s="208">
        <v>0</v>
      </c>
      <c r="K379" s="159"/>
      <c r="L379" s="204" t="s">
        <v>455</v>
      </c>
      <c r="N379" s="141">
        <f t="shared" si="12"/>
        <v>123</v>
      </c>
    </row>
    <row r="380" spans="1:14" ht="15">
      <c r="A380" s="159"/>
      <c r="B380" s="143" t="str">
        <f t="shared" si="11"/>
        <v>124.</v>
      </c>
      <c r="C380" s="205" t="s">
        <v>938</v>
      </c>
      <c r="D380" s="162"/>
      <c r="E380" s="163"/>
      <c r="F380" s="159"/>
      <c r="G380" s="164"/>
      <c r="H380" s="204" t="s">
        <v>940</v>
      </c>
      <c r="I380" s="211">
        <v>2010</v>
      </c>
      <c r="J380" s="208">
        <v>0</v>
      </c>
      <c r="K380" s="159"/>
      <c r="L380" s="204" t="s">
        <v>455</v>
      </c>
      <c r="N380" s="141">
        <f t="shared" si="12"/>
        <v>124</v>
      </c>
    </row>
    <row r="381" spans="1:14" ht="15">
      <c r="A381" s="159"/>
      <c r="B381" s="143" t="str">
        <f t="shared" si="11"/>
        <v>125.</v>
      </c>
      <c r="C381" s="205" t="s">
        <v>938</v>
      </c>
      <c r="D381" s="162"/>
      <c r="E381" s="163"/>
      <c r="F381" s="159"/>
      <c r="G381" s="164"/>
      <c r="H381" s="204" t="s">
        <v>940</v>
      </c>
      <c r="I381" s="211">
        <v>2008</v>
      </c>
      <c r="J381" s="208">
        <v>0</v>
      </c>
      <c r="K381" s="159"/>
      <c r="L381" s="204" t="s">
        <v>455</v>
      </c>
      <c r="N381" s="141">
        <f t="shared" si="12"/>
        <v>125</v>
      </c>
    </row>
    <row r="382" spans="1:14" ht="15">
      <c r="A382" s="159"/>
      <c r="B382" s="143" t="str">
        <f t="shared" si="11"/>
        <v>126.</v>
      </c>
      <c r="C382" s="205" t="s">
        <v>938</v>
      </c>
      <c r="D382" s="162"/>
      <c r="E382" s="163"/>
      <c r="F382" s="159"/>
      <c r="G382" s="164"/>
      <c r="H382" s="204" t="s">
        <v>940</v>
      </c>
      <c r="I382" s="211">
        <v>2010</v>
      </c>
      <c r="J382" s="208">
        <v>29000</v>
      </c>
      <c r="K382" s="159"/>
      <c r="L382" s="204" t="s">
        <v>455</v>
      </c>
      <c r="N382" s="141">
        <f t="shared" si="12"/>
        <v>126</v>
      </c>
    </row>
    <row r="383" spans="1:14" ht="15">
      <c r="A383" s="159"/>
      <c r="B383" s="143" t="str">
        <f t="shared" si="11"/>
        <v>127.</v>
      </c>
      <c r="C383" s="205" t="s">
        <v>938</v>
      </c>
      <c r="D383" s="162"/>
      <c r="E383" s="163"/>
      <c r="F383" s="159"/>
      <c r="G383" s="164"/>
      <c r="H383" s="204" t="s">
        <v>940</v>
      </c>
      <c r="I383" s="211">
        <v>2009</v>
      </c>
      <c r="J383" s="208">
        <v>0</v>
      </c>
      <c r="K383" s="159"/>
      <c r="L383" s="204" t="s">
        <v>455</v>
      </c>
      <c r="N383" s="141">
        <f t="shared" si="12"/>
        <v>127</v>
      </c>
    </row>
    <row r="384" spans="1:14" ht="15">
      <c r="A384" s="159"/>
      <c r="B384" s="143" t="str">
        <f t="shared" si="11"/>
        <v>128.</v>
      </c>
      <c r="C384" s="205" t="s">
        <v>938</v>
      </c>
      <c r="D384" s="162"/>
      <c r="E384" s="163"/>
      <c r="F384" s="159"/>
      <c r="G384" s="164"/>
      <c r="H384" s="204" t="s">
        <v>940</v>
      </c>
      <c r="I384" s="211">
        <v>2009</v>
      </c>
      <c r="J384" s="208">
        <v>0</v>
      </c>
      <c r="K384" s="159"/>
      <c r="L384" s="204" t="s">
        <v>455</v>
      </c>
      <c r="N384" s="141">
        <f t="shared" si="12"/>
        <v>128</v>
      </c>
    </row>
    <row r="385" spans="1:14" ht="15">
      <c r="A385" s="159"/>
      <c r="B385" s="143" t="str">
        <f t="shared" ref="B385:B448" si="13">N385&amp;"."</f>
        <v>129.</v>
      </c>
      <c r="C385" s="205" t="s">
        <v>938</v>
      </c>
      <c r="D385" s="162"/>
      <c r="E385" s="163"/>
      <c r="F385" s="159"/>
      <c r="G385" s="164"/>
      <c r="H385" s="204" t="s">
        <v>940</v>
      </c>
      <c r="I385" s="211">
        <v>2009</v>
      </c>
      <c r="J385" s="208">
        <v>0</v>
      </c>
      <c r="K385" s="159"/>
      <c r="L385" s="204" t="s">
        <v>455</v>
      </c>
      <c r="N385" s="141">
        <f t="shared" si="12"/>
        <v>129</v>
      </c>
    </row>
    <row r="386" spans="1:14" ht="15">
      <c r="A386" s="159"/>
      <c r="B386" s="143" t="str">
        <f t="shared" si="13"/>
        <v>130.</v>
      </c>
      <c r="C386" s="205" t="s">
        <v>938</v>
      </c>
      <c r="D386" s="162"/>
      <c r="E386" s="163"/>
      <c r="F386" s="159"/>
      <c r="G386" s="164"/>
      <c r="H386" s="204" t="s">
        <v>940</v>
      </c>
      <c r="I386" s="211">
        <v>2010</v>
      </c>
      <c r="J386" s="208">
        <v>0</v>
      </c>
      <c r="K386" s="159"/>
      <c r="L386" s="204" t="s">
        <v>455</v>
      </c>
      <c r="N386" s="141">
        <f t="shared" si="12"/>
        <v>130</v>
      </c>
    </row>
    <row r="387" spans="1:14" ht="15">
      <c r="A387" s="159"/>
      <c r="B387" s="143" t="str">
        <f t="shared" si="13"/>
        <v>131.</v>
      </c>
      <c r="C387" s="205" t="s">
        <v>938</v>
      </c>
      <c r="D387" s="162"/>
      <c r="E387" s="163"/>
      <c r="F387" s="159"/>
      <c r="G387" s="164"/>
      <c r="H387" s="204" t="s">
        <v>940</v>
      </c>
      <c r="I387" s="211">
        <v>2010</v>
      </c>
      <c r="J387" s="208">
        <v>0</v>
      </c>
      <c r="K387" s="159"/>
      <c r="L387" s="204" t="s">
        <v>455</v>
      </c>
      <c r="N387" s="141">
        <f t="shared" ref="N387:N450" si="14">N386+1</f>
        <v>131</v>
      </c>
    </row>
    <row r="388" spans="1:14" ht="15">
      <c r="A388" s="159"/>
      <c r="B388" s="143" t="str">
        <f t="shared" si="13"/>
        <v>132.</v>
      </c>
      <c r="C388" s="205" t="s">
        <v>938</v>
      </c>
      <c r="D388" s="162"/>
      <c r="E388" s="163"/>
      <c r="F388" s="159"/>
      <c r="G388" s="164"/>
      <c r="H388" s="204" t="s">
        <v>940</v>
      </c>
      <c r="I388" s="211">
        <v>2010</v>
      </c>
      <c r="J388" s="208">
        <v>0</v>
      </c>
      <c r="K388" s="159"/>
      <c r="L388" s="204" t="s">
        <v>455</v>
      </c>
      <c r="N388" s="141">
        <f t="shared" si="14"/>
        <v>132</v>
      </c>
    </row>
    <row r="389" spans="1:14" ht="15">
      <c r="A389" s="159"/>
      <c r="B389" s="143" t="str">
        <f t="shared" si="13"/>
        <v>133.</v>
      </c>
      <c r="C389" s="205" t="s">
        <v>938</v>
      </c>
      <c r="D389" s="162"/>
      <c r="E389" s="163"/>
      <c r="F389" s="159"/>
      <c r="G389" s="164"/>
      <c r="H389" s="204" t="s">
        <v>940</v>
      </c>
      <c r="I389" s="211">
        <v>2010</v>
      </c>
      <c r="J389" s="208">
        <f>22800*2</f>
        <v>45600</v>
      </c>
      <c r="K389" s="159"/>
      <c r="L389" s="204" t="s">
        <v>455</v>
      </c>
      <c r="N389" s="141">
        <f t="shared" si="14"/>
        <v>133</v>
      </c>
    </row>
    <row r="390" spans="1:14" ht="15">
      <c r="A390" s="159"/>
      <c r="B390" s="143" t="str">
        <f t="shared" si="13"/>
        <v>134.</v>
      </c>
      <c r="C390" s="205" t="s">
        <v>938</v>
      </c>
      <c r="D390" s="162"/>
      <c r="E390" s="163"/>
      <c r="F390" s="159"/>
      <c r="G390" s="164"/>
      <c r="H390" s="204" t="s">
        <v>940</v>
      </c>
      <c r="I390" s="211">
        <v>2010</v>
      </c>
      <c r="J390" s="208">
        <v>30000</v>
      </c>
      <c r="K390" s="159"/>
      <c r="L390" s="204" t="s">
        <v>455</v>
      </c>
      <c r="N390" s="141">
        <f t="shared" si="14"/>
        <v>134</v>
      </c>
    </row>
    <row r="391" spans="1:14" ht="15">
      <c r="A391" s="159"/>
      <c r="B391" s="143" t="str">
        <f t="shared" si="13"/>
        <v>135.</v>
      </c>
      <c r="C391" s="205" t="s">
        <v>938</v>
      </c>
      <c r="D391" s="162"/>
      <c r="E391" s="163"/>
      <c r="F391" s="159"/>
      <c r="G391" s="164"/>
      <c r="H391" s="204" t="s">
        <v>940</v>
      </c>
      <c r="I391" s="211">
        <v>2010</v>
      </c>
      <c r="J391" s="208">
        <f>24000*2</f>
        <v>48000</v>
      </c>
      <c r="K391" s="159"/>
      <c r="L391" s="204" t="s">
        <v>455</v>
      </c>
      <c r="N391" s="141">
        <f t="shared" si="14"/>
        <v>135</v>
      </c>
    </row>
    <row r="392" spans="1:14" ht="15">
      <c r="A392" s="159"/>
      <c r="B392" s="143" t="str">
        <f t="shared" si="13"/>
        <v>136.</v>
      </c>
      <c r="C392" s="205" t="s">
        <v>938</v>
      </c>
      <c r="D392" s="162"/>
      <c r="E392" s="163"/>
      <c r="F392" s="159"/>
      <c r="G392" s="164"/>
      <c r="H392" s="204" t="s">
        <v>940</v>
      </c>
      <c r="I392" s="211">
        <v>2009</v>
      </c>
      <c r="J392" s="208">
        <v>0</v>
      </c>
      <c r="K392" s="159"/>
      <c r="L392" s="204" t="s">
        <v>455</v>
      </c>
      <c r="N392" s="141">
        <f t="shared" si="14"/>
        <v>136</v>
      </c>
    </row>
    <row r="393" spans="1:14" ht="15">
      <c r="A393" s="159"/>
      <c r="B393" s="143" t="str">
        <f t="shared" si="13"/>
        <v>137.</v>
      </c>
      <c r="C393" s="205" t="s">
        <v>938</v>
      </c>
      <c r="D393" s="162"/>
      <c r="E393" s="163"/>
      <c r="F393" s="159"/>
      <c r="G393" s="164"/>
      <c r="H393" s="204" t="s">
        <v>940</v>
      </c>
      <c r="I393" s="211">
        <v>2009</v>
      </c>
      <c r="J393" s="208">
        <v>0</v>
      </c>
      <c r="K393" s="159"/>
      <c r="L393" s="204" t="s">
        <v>455</v>
      </c>
      <c r="N393" s="141">
        <f t="shared" si="14"/>
        <v>137</v>
      </c>
    </row>
    <row r="394" spans="1:14" ht="15">
      <c r="A394" s="159"/>
      <c r="B394" s="143" t="str">
        <f t="shared" si="13"/>
        <v>138.</v>
      </c>
      <c r="C394" s="205" t="s">
        <v>938</v>
      </c>
      <c r="D394" s="162"/>
      <c r="E394" s="163"/>
      <c r="F394" s="159"/>
      <c r="G394" s="164"/>
      <c r="H394" s="204" t="s">
        <v>940</v>
      </c>
      <c r="I394" s="211">
        <v>2011</v>
      </c>
      <c r="J394" s="208">
        <f>15000*2</f>
        <v>30000</v>
      </c>
      <c r="K394" s="159"/>
      <c r="L394" s="204" t="s">
        <v>455</v>
      </c>
      <c r="N394" s="141">
        <f t="shared" si="14"/>
        <v>138</v>
      </c>
    </row>
    <row r="395" spans="1:14" ht="15">
      <c r="A395" s="159"/>
      <c r="B395" s="143" t="str">
        <f t="shared" si="13"/>
        <v>139.</v>
      </c>
      <c r="C395" s="205" t="s">
        <v>938</v>
      </c>
      <c r="D395" s="162"/>
      <c r="E395" s="163"/>
      <c r="F395" s="159"/>
      <c r="G395" s="164"/>
      <c r="H395" s="204" t="s">
        <v>940</v>
      </c>
      <c r="I395" s="211">
        <v>2010</v>
      </c>
      <c r="J395" s="208">
        <v>0</v>
      </c>
      <c r="K395" s="159"/>
      <c r="L395" s="204" t="s">
        <v>455</v>
      </c>
      <c r="N395" s="141">
        <f t="shared" si="14"/>
        <v>139</v>
      </c>
    </row>
    <row r="396" spans="1:14" ht="15">
      <c r="A396" s="159"/>
      <c r="B396" s="143" t="str">
        <f t="shared" si="13"/>
        <v>140.</v>
      </c>
      <c r="C396" s="205" t="s">
        <v>938</v>
      </c>
      <c r="D396" s="162"/>
      <c r="E396" s="163"/>
      <c r="F396" s="159"/>
      <c r="G396" s="164"/>
      <c r="H396" s="204" t="s">
        <v>940</v>
      </c>
      <c r="I396" s="211">
        <v>2010</v>
      </c>
      <c r="J396" s="208">
        <v>0</v>
      </c>
      <c r="K396" s="159"/>
      <c r="L396" s="204" t="s">
        <v>455</v>
      </c>
      <c r="N396" s="141">
        <f t="shared" si="14"/>
        <v>140</v>
      </c>
    </row>
    <row r="397" spans="1:14" ht="15">
      <c r="A397" s="159"/>
      <c r="B397" s="143" t="str">
        <f t="shared" si="13"/>
        <v>141.</v>
      </c>
      <c r="C397" s="205" t="s">
        <v>938</v>
      </c>
      <c r="D397" s="162"/>
      <c r="E397" s="163"/>
      <c r="F397" s="159"/>
      <c r="G397" s="164"/>
      <c r="H397" s="204" t="s">
        <v>940</v>
      </c>
      <c r="I397" s="211">
        <v>2010</v>
      </c>
      <c r="J397" s="208">
        <v>0</v>
      </c>
      <c r="K397" s="159"/>
      <c r="L397" s="204" t="s">
        <v>455</v>
      </c>
      <c r="N397" s="141">
        <f t="shared" si="14"/>
        <v>141</v>
      </c>
    </row>
    <row r="398" spans="1:14" ht="15">
      <c r="A398" s="159"/>
      <c r="B398" s="143" t="str">
        <f t="shared" si="13"/>
        <v>142.</v>
      </c>
      <c r="C398" s="205" t="s">
        <v>938</v>
      </c>
      <c r="D398" s="162"/>
      <c r="E398" s="163"/>
      <c r="F398" s="159"/>
      <c r="G398" s="164"/>
      <c r="H398" s="204" t="s">
        <v>940</v>
      </c>
      <c r="I398" s="211">
        <v>2010</v>
      </c>
      <c r="J398" s="208">
        <f>15000*2</f>
        <v>30000</v>
      </c>
      <c r="K398" s="159"/>
      <c r="L398" s="204" t="s">
        <v>455</v>
      </c>
      <c r="N398" s="141">
        <f t="shared" si="14"/>
        <v>142</v>
      </c>
    </row>
    <row r="399" spans="1:14" ht="15">
      <c r="A399" s="159"/>
      <c r="B399" s="143" t="str">
        <f t="shared" si="13"/>
        <v>143.</v>
      </c>
      <c r="C399" s="205" t="s">
        <v>938</v>
      </c>
      <c r="D399" s="162"/>
      <c r="E399" s="163"/>
      <c r="F399" s="159"/>
      <c r="G399" s="164"/>
      <c r="H399" s="204" t="s">
        <v>940</v>
      </c>
      <c r="I399" s="211">
        <v>2010</v>
      </c>
      <c r="J399" s="208">
        <v>15000</v>
      </c>
      <c r="K399" s="159"/>
      <c r="L399" s="204" t="s">
        <v>455</v>
      </c>
      <c r="N399" s="141">
        <f t="shared" si="14"/>
        <v>143</v>
      </c>
    </row>
    <row r="400" spans="1:14" ht="15">
      <c r="A400" s="159"/>
      <c r="B400" s="143" t="str">
        <f t="shared" si="13"/>
        <v>144.</v>
      </c>
      <c r="C400" s="205" t="s">
        <v>938</v>
      </c>
      <c r="D400" s="162"/>
      <c r="E400" s="163"/>
      <c r="F400" s="159"/>
      <c r="G400" s="164"/>
      <c r="H400" s="204" t="s">
        <v>940</v>
      </c>
      <c r="I400" s="211">
        <v>2011</v>
      </c>
      <c r="J400" s="208">
        <v>0</v>
      </c>
      <c r="K400" s="159"/>
      <c r="L400" s="204" t="s">
        <v>455</v>
      </c>
      <c r="N400" s="141">
        <f t="shared" si="14"/>
        <v>144</v>
      </c>
    </row>
    <row r="401" spans="1:14" ht="15">
      <c r="A401" s="159"/>
      <c r="B401" s="143" t="str">
        <f t="shared" si="13"/>
        <v>145.</v>
      </c>
      <c r="C401" s="205" t="s">
        <v>938</v>
      </c>
      <c r="D401" s="162"/>
      <c r="E401" s="163"/>
      <c r="F401" s="159"/>
      <c r="G401" s="164"/>
      <c r="H401" s="204" t="s">
        <v>940</v>
      </c>
      <c r="I401" s="211">
        <v>2009</v>
      </c>
      <c r="J401" s="208">
        <v>0</v>
      </c>
      <c r="K401" s="159"/>
      <c r="L401" s="204" t="s">
        <v>455</v>
      </c>
      <c r="N401" s="141">
        <f t="shared" si="14"/>
        <v>145</v>
      </c>
    </row>
    <row r="402" spans="1:14" ht="15">
      <c r="A402" s="159"/>
      <c r="B402" s="143" t="str">
        <f t="shared" si="13"/>
        <v>146.</v>
      </c>
      <c r="C402" s="205" t="s">
        <v>938</v>
      </c>
      <c r="D402" s="162"/>
      <c r="E402" s="163"/>
      <c r="F402" s="159"/>
      <c r="G402" s="164"/>
      <c r="H402" s="204" t="s">
        <v>940</v>
      </c>
      <c r="I402" s="211">
        <v>2009</v>
      </c>
      <c r="J402" s="208">
        <v>0</v>
      </c>
      <c r="K402" s="159"/>
      <c r="L402" s="204" t="s">
        <v>455</v>
      </c>
      <c r="N402" s="141">
        <f t="shared" si="14"/>
        <v>146</v>
      </c>
    </row>
    <row r="403" spans="1:14" ht="15">
      <c r="A403" s="159"/>
      <c r="B403" s="143" t="str">
        <f t="shared" si="13"/>
        <v>147.</v>
      </c>
      <c r="C403" s="205" t="s">
        <v>938</v>
      </c>
      <c r="D403" s="162"/>
      <c r="E403" s="163"/>
      <c r="F403" s="159"/>
      <c r="G403" s="164"/>
      <c r="H403" s="204" t="s">
        <v>940</v>
      </c>
      <c r="I403" s="211">
        <v>2010</v>
      </c>
      <c r="J403" s="208">
        <v>15000</v>
      </c>
      <c r="K403" s="159"/>
      <c r="L403" s="204" t="s">
        <v>455</v>
      </c>
      <c r="N403" s="141">
        <f t="shared" si="14"/>
        <v>147</v>
      </c>
    </row>
    <row r="404" spans="1:14" ht="15">
      <c r="A404" s="159"/>
      <c r="B404" s="143" t="str">
        <f t="shared" si="13"/>
        <v>148.</v>
      </c>
      <c r="C404" s="205" t="s">
        <v>938</v>
      </c>
      <c r="D404" s="162"/>
      <c r="E404" s="163"/>
      <c r="F404" s="159"/>
      <c r="G404" s="164"/>
      <c r="H404" s="204" t="s">
        <v>940</v>
      </c>
      <c r="I404" s="211">
        <v>2010</v>
      </c>
      <c r="J404" s="208">
        <v>0</v>
      </c>
      <c r="K404" s="159"/>
      <c r="L404" s="204" t="s">
        <v>455</v>
      </c>
      <c r="N404" s="141">
        <f t="shared" si="14"/>
        <v>148</v>
      </c>
    </row>
    <row r="405" spans="1:14" ht="15">
      <c r="A405" s="159"/>
      <c r="B405" s="143" t="str">
        <f t="shared" si="13"/>
        <v>149.</v>
      </c>
      <c r="C405" s="205" t="s">
        <v>938</v>
      </c>
      <c r="D405" s="162"/>
      <c r="E405" s="163"/>
      <c r="F405" s="159"/>
      <c r="G405" s="164"/>
      <c r="H405" s="204" t="s">
        <v>940</v>
      </c>
      <c r="I405" s="211">
        <v>2011</v>
      </c>
      <c r="J405" s="208">
        <v>0</v>
      </c>
      <c r="K405" s="159"/>
      <c r="L405" s="204" t="s">
        <v>455</v>
      </c>
      <c r="N405" s="141">
        <f t="shared" si="14"/>
        <v>149</v>
      </c>
    </row>
    <row r="406" spans="1:14" ht="15">
      <c r="A406" s="159"/>
      <c r="B406" s="143" t="str">
        <f t="shared" si="13"/>
        <v>150.</v>
      </c>
      <c r="C406" s="205" t="s">
        <v>938</v>
      </c>
      <c r="D406" s="162"/>
      <c r="E406" s="163"/>
      <c r="F406" s="159"/>
      <c r="G406" s="164"/>
      <c r="H406" s="204" t="s">
        <v>940</v>
      </c>
      <c r="I406" s="211">
        <v>2010</v>
      </c>
      <c r="J406" s="208">
        <v>0</v>
      </c>
      <c r="K406" s="159"/>
      <c r="L406" s="204" t="s">
        <v>455</v>
      </c>
      <c r="N406" s="141">
        <f t="shared" si="14"/>
        <v>150</v>
      </c>
    </row>
    <row r="407" spans="1:14" ht="15">
      <c r="A407" s="159"/>
      <c r="B407" s="143" t="str">
        <f t="shared" si="13"/>
        <v>151.</v>
      </c>
      <c r="C407" s="205" t="s">
        <v>938</v>
      </c>
      <c r="D407" s="162"/>
      <c r="E407" s="163"/>
      <c r="F407" s="159"/>
      <c r="G407" s="164"/>
      <c r="H407" s="204" t="s">
        <v>940</v>
      </c>
      <c r="I407" s="211">
        <v>2010</v>
      </c>
      <c r="J407" s="208">
        <f>15000*2</f>
        <v>30000</v>
      </c>
      <c r="K407" s="159"/>
      <c r="L407" s="204" t="s">
        <v>455</v>
      </c>
      <c r="N407" s="141">
        <f t="shared" si="14"/>
        <v>151</v>
      </c>
    </row>
    <row r="408" spans="1:14" ht="15">
      <c r="A408" s="159"/>
      <c r="B408" s="143" t="str">
        <f t="shared" si="13"/>
        <v>152.</v>
      </c>
      <c r="C408" s="205" t="s">
        <v>938</v>
      </c>
      <c r="D408" s="162"/>
      <c r="E408" s="163"/>
      <c r="F408" s="159"/>
      <c r="G408" s="164"/>
      <c r="H408" s="204" t="s">
        <v>940</v>
      </c>
      <c r="I408" s="211">
        <v>2009</v>
      </c>
      <c r="J408" s="208">
        <v>0</v>
      </c>
      <c r="K408" s="159"/>
      <c r="L408" s="204" t="s">
        <v>455</v>
      </c>
      <c r="N408" s="141">
        <f t="shared" si="14"/>
        <v>152</v>
      </c>
    </row>
    <row r="409" spans="1:14" ht="15">
      <c r="A409" s="159"/>
      <c r="B409" s="143" t="str">
        <f t="shared" si="13"/>
        <v>153.</v>
      </c>
      <c r="C409" s="205" t="s">
        <v>938</v>
      </c>
      <c r="D409" s="162"/>
      <c r="E409" s="163"/>
      <c r="F409" s="159"/>
      <c r="G409" s="164"/>
      <c r="H409" s="204" t="s">
        <v>940</v>
      </c>
      <c r="I409" s="211">
        <v>2011</v>
      </c>
      <c r="J409" s="208">
        <f>15000*2</f>
        <v>30000</v>
      </c>
      <c r="K409" s="159"/>
      <c r="L409" s="204" t="s">
        <v>455</v>
      </c>
      <c r="N409" s="141">
        <f t="shared" si="14"/>
        <v>153</v>
      </c>
    </row>
    <row r="410" spans="1:14" ht="15">
      <c r="A410" s="159"/>
      <c r="B410" s="143" t="str">
        <f t="shared" si="13"/>
        <v>154.</v>
      </c>
      <c r="C410" s="205" t="s">
        <v>938</v>
      </c>
      <c r="D410" s="162"/>
      <c r="E410" s="163"/>
      <c r="F410" s="159"/>
      <c r="G410" s="164"/>
      <c r="H410" s="204" t="s">
        <v>940</v>
      </c>
      <c r="I410" s="211">
        <v>2008</v>
      </c>
      <c r="J410" s="208">
        <v>0</v>
      </c>
      <c r="K410" s="159"/>
      <c r="L410" s="204" t="s">
        <v>455</v>
      </c>
      <c r="N410" s="141">
        <f t="shared" si="14"/>
        <v>154</v>
      </c>
    </row>
    <row r="411" spans="1:14" ht="15">
      <c r="A411" s="159"/>
      <c r="B411" s="143" t="str">
        <f t="shared" si="13"/>
        <v>155.</v>
      </c>
      <c r="C411" s="205" t="s">
        <v>938</v>
      </c>
      <c r="D411" s="162"/>
      <c r="E411" s="163"/>
      <c r="F411" s="159"/>
      <c r="G411" s="164"/>
      <c r="H411" s="204" t="s">
        <v>940</v>
      </c>
      <c r="I411" s="211">
        <v>2011</v>
      </c>
      <c r="J411" s="208">
        <v>0</v>
      </c>
      <c r="K411" s="159"/>
      <c r="L411" s="204" t="s">
        <v>455</v>
      </c>
      <c r="N411" s="141">
        <f t="shared" si="14"/>
        <v>155</v>
      </c>
    </row>
    <row r="412" spans="1:14" ht="15">
      <c r="A412" s="159"/>
      <c r="B412" s="143" t="str">
        <f t="shared" si="13"/>
        <v>156.</v>
      </c>
      <c r="C412" s="205" t="s">
        <v>938</v>
      </c>
      <c r="D412" s="162"/>
      <c r="E412" s="163"/>
      <c r="F412" s="159"/>
      <c r="G412" s="164"/>
      <c r="H412" s="204" t="s">
        <v>940</v>
      </c>
      <c r="I412" s="211">
        <v>2010</v>
      </c>
      <c r="J412" s="208">
        <v>0</v>
      </c>
      <c r="K412" s="159"/>
      <c r="L412" s="204" t="s">
        <v>455</v>
      </c>
      <c r="N412" s="141">
        <f t="shared" si="14"/>
        <v>156</v>
      </c>
    </row>
    <row r="413" spans="1:14" ht="15">
      <c r="A413" s="159"/>
      <c r="B413" s="143" t="str">
        <f t="shared" si="13"/>
        <v>157.</v>
      </c>
      <c r="C413" s="205" t="s">
        <v>938</v>
      </c>
      <c r="D413" s="162"/>
      <c r="E413" s="163"/>
      <c r="F413" s="159"/>
      <c r="G413" s="164"/>
      <c r="H413" s="204" t="s">
        <v>940</v>
      </c>
      <c r="I413" s="211">
        <v>2011</v>
      </c>
      <c r="J413" s="208">
        <f>34900*2</f>
        <v>69800</v>
      </c>
      <c r="K413" s="159"/>
      <c r="L413" s="204" t="s">
        <v>455</v>
      </c>
      <c r="N413" s="141">
        <f t="shared" si="14"/>
        <v>157</v>
      </c>
    </row>
    <row r="414" spans="1:14" ht="15">
      <c r="A414" s="159"/>
      <c r="B414" s="143" t="str">
        <f t="shared" si="13"/>
        <v>158.</v>
      </c>
      <c r="C414" s="205" t="s">
        <v>938</v>
      </c>
      <c r="D414" s="162"/>
      <c r="E414" s="163"/>
      <c r="F414" s="159"/>
      <c r="G414" s="164"/>
      <c r="H414" s="204" t="s">
        <v>940</v>
      </c>
      <c r="I414" s="211">
        <v>2010</v>
      </c>
      <c r="J414" s="208">
        <f>15000*2</f>
        <v>30000</v>
      </c>
      <c r="K414" s="159"/>
      <c r="L414" s="204" t="s">
        <v>455</v>
      </c>
      <c r="N414" s="141">
        <f t="shared" si="14"/>
        <v>158</v>
      </c>
    </row>
    <row r="415" spans="1:14" ht="15">
      <c r="A415" s="159"/>
      <c r="B415" s="143" t="str">
        <f t="shared" si="13"/>
        <v>159.</v>
      </c>
      <c r="C415" s="205" t="s">
        <v>938</v>
      </c>
      <c r="D415" s="162"/>
      <c r="E415" s="163"/>
      <c r="F415" s="159"/>
      <c r="G415" s="164"/>
      <c r="H415" s="204" t="s">
        <v>940</v>
      </c>
      <c r="I415" s="211">
        <v>2009</v>
      </c>
      <c r="J415" s="208">
        <v>0</v>
      </c>
      <c r="K415" s="159"/>
      <c r="L415" s="204" t="s">
        <v>455</v>
      </c>
      <c r="N415" s="141">
        <f t="shared" si="14"/>
        <v>159</v>
      </c>
    </row>
    <row r="416" spans="1:14" ht="15">
      <c r="A416" s="159"/>
      <c r="B416" s="143" t="str">
        <f t="shared" si="13"/>
        <v>160.</v>
      </c>
      <c r="C416" s="205" t="s">
        <v>938</v>
      </c>
      <c r="D416" s="162"/>
      <c r="E416" s="163"/>
      <c r="F416" s="159"/>
      <c r="G416" s="164"/>
      <c r="H416" s="204" t="s">
        <v>940</v>
      </c>
      <c r="I416" s="211">
        <v>2009</v>
      </c>
      <c r="J416" s="208">
        <v>0</v>
      </c>
      <c r="K416" s="159"/>
      <c r="L416" s="204" t="s">
        <v>455</v>
      </c>
      <c r="N416" s="141">
        <f t="shared" si="14"/>
        <v>160</v>
      </c>
    </row>
    <row r="417" spans="1:14" ht="15">
      <c r="A417" s="159"/>
      <c r="B417" s="143" t="str">
        <f t="shared" si="13"/>
        <v>161.</v>
      </c>
      <c r="C417" s="205" t="s">
        <v>938</v>
      </c>
      <c r="D417" s="162"/>
      <c r="E417" s="163"/>
      <c r="F417" s="159"/>
      <c r="G417" s="164"/>
      <c r="H417" s="204" t="s">
        <v>940</v>
      </c>
      <c r="I417" s="211">
        <v>2009</v>
      </c>
      <c r="J417" s="208">
        <v>0</v>
      </c>
      <c r="K417" s="159"/>
      <c r="L417" s="204" t="s">
        <v>455</v>
      </c>
      <c r="N417" s="141">
        <f t="shared" si="14"/>
        <v>161</v>
      </c>
    </row>
    <row r="418" spans="1:14" ht="15">
      <c r="A418" s="159"/>
      <c r="B418" s="143" t="str">
        <f t="shared" si="13"/>
        <v>162.</v>
      </c>
      <c r="C418" s="205" t="s">
        <v>938</v>
      </c>
      <c r="D418" s="162"/>
      <c r="E418" s="163"/>
      <c r="F418" s="159"/>
      <c r="G418" s="164"/>
      <c r="H418" s="204" t="s">
        <v>940</v>
      </c>
      <c r="I418" s="211">
        <v>2011</v>
      </c>
      <c r="J418" s="208">
        <f>15000*2</f>
        <v>30000</v>
      </c>
      <c r="K418" s="159"/>
      <c r="L418" s="204" t="s">
        <v>455</v>
      </c>
      <c r="N418" s="141">
        <f t="shared" si="14"/>
        <v>162</v>
      </c>
    </row>
    <row r="419" spans="1:14" ht="15">
      <c r="A419" s="159"/>
      <c r="B419" s="143" t="str">
        <f t="shared" si="13"/>
        <v>163.</v>
      </c>
      <c r="C419" s="205" t="s">
        <v>938</v>
      </c>
      <c r="D419" s="162"/>
      <c r="E419" s="163"/>
      <c r="F419" s="159"/>
      <c r="G419" s="164"/>
      <c r="H419" s="204" t="s">
        <v>940</v>
      </c>
      <c r="I419" s="211">
        <v>2010</v>
      </c>
      <c r="J419" s="208">
        <v>15000</v>
      </c>
      <c r="K419" s="159"/>
      <c r="L419" s="204" t="s">
        <v>455</v>
      </c>
      <c r="N419" s="141">
        <f t="shared" si="14"/>
        <v>163</v>
      </c>
    </row>
    <row r="420" spans="1:14" ht="15">
      <c r="A420" s="159"/>
      <c r="B420" s="143" t="str">
        <f t="shared" si="13"/>
        <v>164.</v>
      </c>
      <c r="C420" s="205" t="s">
        <v>938</v>
      </c>
      <c r="D420" s="162"/>
      <c r="E420" s="163"/>
      <c r="F420" s="159"/>
      <c r="G420" s="164"/>
      <c r="H420" s="204" t="s">
        <v>940</v>
      </c>
      <c r="I420" s="211">
        <v>2009</v>
      </c>
      <c r="J420" s="208">
        <v>0</v>
      </c>
      <c r="K420" s="159"/>
      <c r="L420" s="204" t="s">
        <v>455</v>
      </c>
      <c r="N420" s="141">
        <f t="shared" si="14"/>
        <v>164</v>
      </c>
    </row>
    <row r="421" spans="1:14" ht="15">
      <c r="A421" s="159"/>
      <c r="B421" s="143" t="str">
        <f t="shared" si="13"/>
        <v>165.</v>
      </c>
      <c r="C421" s="205" t="s">
        <v>938</v>
      </c>
      <c r="D421" s="162"/>
      <c r="E421" s="163"/>
      <c r="F421" s="159"/>
      <c r="G421" s="164"/>
      <c r="H421" s="204" t="s">
        <v>940</v>
      </c>
      <c r="I421" s="211">
        <v>2009</v>
      </c>
      <c r="J421" s="208">
        <f>27000*2</f>
        <v>54000</v>
      </c>
      <c r="K421" s="159"/>
      <c r="L421" s="204" t="s">
        <v>455</v>
      </c>
      <c r="N421" s="141">
        <f t="shared" si="14"/>
        <v>165</v>
      </c>
    </row>
    <row r="422" spans="1:14" ht="15">
      <c r="A422" s="159"/>
      <c r="B422" s="143" t="str">
        <f t="shared" si="13"/>
        <v>166.</v>
      </c>
      <c r="C422" s="205" t="s">
        <v>938</v>
      </c>
      <c r="D422" s="162"/>
      <c r="E422" s="163"/>
      <c r="F422" s="159"/>
      <c r="G422" s="164"/>
      <c r="H422" s="204" t="s">
        <v>940</v>
      </c>
      <c r="I422" s="211">
        <v>2010</v>
      </c>
      <c r="J422" s="208">
        <v>0</v>
      </c>
      <c r="K422" s="159"/>
      <c r="L422" s="204" t="s">
        <v>455</v>
      </c>
      <c r="N422" s="141">
        <f t="shared" si="14"/>
        <v>166</v>
      </c>
    </row>
    <row r="423" spans="1:14" ht="15">
      <c r="A423" s="159"/>
      <c r="B423" s="143" t="str">
        <f t="shared" si="13"/>
        <v>167.</v>
      </c>
      <c r="C423" s="205" t="s">
        <v>938</v>
      </c>
      <c r="D423" s="162"/>
      <c r="E423" s="163"/>
      <c r="F423" s="159"/>
      <c r="G423" s="164"/>
      <c r="H423" s="204" t="s">
        <v>940</v>
      </c>
      <c r="I423" s="211">
        <v>2009</v>
      </c>
      <c r="J423" s="208">
        <v>0</v>
      </c>
      <c r="K423" s="159"/>
      <c r="L423" s="204" t="s">
        <v>455</v>
      </c>
      <c r="N423" s="141">
        <f t="shared" si="14"/>
        <v>167</v>
      </c>
    </row>
    <row r="424" spans="1:14" ht="15">
      <c r="A424" s="159"/>
      <c r="B424" s="143" t="str">
        <f t="shared" si="13"/>
        <v>168.</v>
      </c>
      <c r="C424" s="205" t="s">
        <v>938</v>
      </c>
      <c r="D424" s="162"/>
      <c r="E424" s="163"/>
      <c r="F424" s="159"/>
      <c r="G424" s="164"/>
      <c r="H424" s="204" t="s">
        <v>940</v>
      </c>
      <c r="I424" s="211">
        <v>2010</v>
      </c>
      <c r="J424" s="208">
        <v>0</v>
      </c>
      <c r="K424" s="159"/>
      <c r="L424" s="204" t="s">
        <v>455</v>
      </c>
      <c r="N424" s="141">
        <f t="shared" si="14"/>
        <v>168</v>
      </c>
    </row>
    <row r="425" spans="1:14" ht="15">
      <c r="A425" s="159"/>
      <c r="B425" s="143" t="str">
        <f t="shared" si="13"/>
        <v>169.</v>
      </c>
      <c r="C425" s="205" t="s">
        <v>938</v>
      </c>
      <c r="D425" s="162"/>
      <c r="E425" s="163"/>
      <c r="F425" s="159"/>
      <c r="G425" s="164"/>
      <c r="H425" s="204" t="s">
        <v>940</v>
      </c>
      <c r="I425" s="211">
        <v>2010</v>
      </c>
      <c r="J425" s="208">
        <f>28000*2</f>
        <v>56000</v>
      </c>
      <c r="K425" s="159"/>
      <c r="L425" s="204" t="s">
        <v>455</v>
      </c>
      <c r="N425" s="141">
        <f t="shared" si="14"/>
        <v>169</v>
      </c>
    </row>
    <row r="426" spans="1:14" ht="15">
      <c r="A426" s="159"/>
      <c r="B426" s="143" t="str">
        <f t="shared" si="13"/>
        <v>170.</v>
      </c>
      <c r="C426" s="205" t="s">
        <v>938</v>
      </c>
      <c r="D426" s="162"/>
      <c r="E426" s="163"/>
      <c r="F426" s="159"/>
      <c r="G426" s="164"/>
      <c r="H426" s="204" t="s">
        <v>940</v>
      </c>
      <c r="I426" s="211">
        <v>2009</v>
      </c>
      <c r="J426" s="208">
        <f>20000*2</f>
        <v>40000</v>
      </c>
      <c r="K426" s="159"/>
      <c r="L426" s="204" t="s">
        <v>455</v>
      </c>
      <c r="N426" s="141">
        <f t="shared" si="14"/>
        <v>170</v>
      </c>
    </row>
    <row r="427" spans="1:14" ht="15">
      <c r="A427" s="159"/>
      <c r="B427" s="143" t="str">
        <f t="shared" si="13"/>
        <v>171.</v>
      </c>
      <c r="C427" s="205" t="s">
        <v>938</v>
      </c>
      <c r="D427" s="162"/>
      <c r="E427" s="163"/>
      <c r="F427" s="159"/>
      <c r="G427" s="164"/>
      <c r="H427" s="204" t="s">
        <v>940</v>
      </c>
      <c r="I427" s="211">
        <v>2009</v>
      </c>
      <c r="J427" s="208">
        <v>15000</v>
      </c>
      <c r="K427" s="159"/>
      <c r="L427" s="204" t="s">
        <v>455</v>
      </c>
      <c r="N427" s="141">
        <f t="shared" si="14"/>
        <v>171</v>
      </c>
    </row>
    <row r="428" spans="1:14" ht="15">
      <c r="A428" s="159"/>
      <c r="B428" s="143" t="str">
        <f t="shared" si="13"/>
        <v>172.</v>
      </c>
      <c r="C428" s="205" t="s">
        <v>938</v>
      </c>
      <c r="D428" s="162"/>
      <c r="E428" s="163"/>
      <c r="F428" s="159"/>
      <c r="G428" s="164"/>
      <c r="H428" s="204" t="s">
        <v>940</v>
      </c>
      <c r="I428" s="211">
        <v>2009</v>
      </c>
      <c r="J428" s="208">
        <v>0</v>
      </c>
      <c r="K428" s="159"/>
      <c r="L428" s="204" t="s">
        <v>455</v>
      </c>
      <c r="N428" s="141">
        <f t="shared" si="14"/>
        <v>172</v>
      </c>
    </row>
    <row r="429" spans="1:14" ht="15">
      <c r="A429" s="159"/>
      <c r="B429" s="143" t="str">
        <f t="shared" si="13"/>
        <v>173.</v>
      </c>
      <c r="C429" s="205" t="s">
        <v>938</v>
      </c>
      <c r="D429" s="162"/>
      <c r="E429" s="163"/>
      <c r="F429" s="159"/>
      <c r="G429" s="164"/>
      <c r="H429" s="204" t="s">
        <v>940</v>
      </c>
      <c r="I429" s="211">
        <v>2009</v>
      </c>
      <c r="J429" s="208">
        <v>0</v>
      </c>
      <c r="K429" s="159"/>
      <c r="L429" s="204" t="s">
        <v>455</v>
      </c>
      <c r="N429" s="141">
        <f t="shared" si="14"/>
        <v>173</v>
      </c>
    </row>
    <row r="430" spans="1:14" ht="15">
      <c r="A430" s="159"/>
      <c r="B430" s="143" t="str">
        <f t="shared" si="13"/>
        <v>174.</v>
      </c>
      <c r="C430" s="205" t="s">
        <v>938</v>
      </c>
      <c r="D430" s="162"/>
      <c r="E430" s="163"/>
      <c r="F430" s="159"/>
      <c r="G430" s="164"/>
      <c r="H430" s="204" t="s">
        <v>940</v>
      </c>
      <c r="I430" s="211">
        <v>2009</v>
      </c>
      <c r="J430" s="208">
        <v>0</v>
      </c>
      <c r="K430" s="159"/>
      <c r="L430" s="204" t="s">
        <v>455</v>
      </c>
      <c r="N430" s="141">
        <f t="shared" si="14"/>
        <v>174</v>
      </c>
    </row>
    <row r="431" spans="1:14" ht="15">
      <c r="A431" s="159"/>
      <c r="B431" s="143" t="str">
        <f t="shared" si="13"/>
        <v>175.</v>
      </c>
      <c r="C431" s="205" t="s">
        <v>938</v>
      </c>
      <c r="D431" s="162"/>
      <c r="E431" s="163"/>
      <c r="F431" s="159"/>
      <c r="G431" s="164"/>
      <c r="H431" s="204" t="s">
        <v>940</v>
      </c>
      <c r="I431" s="211">
        <v>2009</v>
      </c>
      <c r="J431" s="208">
        <v>0</v>
      </c>
      <c r="K431" s="159"/>
      <c r="L431" s="204" t="s">
        <v>455</v>
      </c>
      <c r="N431" s="141">
        <f t="shared" si="14"/>
        <v>175</v>
      </c>
    </row>
    <row r="432" spans="1:14" ht="15">
      <c r="A432" s="159"/>
      <c r="B432" s="143" t="str">
        <f t="shared" si="13"/>
        <v>176.</v>
      </c>
      <c r="C432" s="205" t="s">
        <v>938</v>
      </c>
      <c r="D432" s="162"/>
      <c r="E432" s="163"/>
      <c r="F432" s="159"/>
      <c r="G432" s="164"/>
      <c r="H432" s="204" t="s">
        <v>940</v>
      </c>
      <c r="I432" s="211">
        <v>2009</v>
      </c>
      <c r="J432" s="208">
        <f>28000*2</f>
        <v>56000</v>
      </c>
      <c r="K432" s="159"/>
      <c r="L432" s="204" t="s">
        <v>455</v>
      </c>
      <c r="N432" s="141">
        <f t="shared" si="14"/>
        <v>176</v>
      </c>
    </row>
    <row r="433" spans="1:14" ht="15">
      <c r="A433" s="159"/>
      <c r="B433" s="143" t="str">
        <f t="shared" si="13"/>
        <v>177.</v>
      </c>
      <c r="C433" s="205" t="s">
        <v>938</v>
      </c>
      <c r="D433" s="162"/>
      <c r="E433" s="163"/>
      <c r="F433" s="159"/>
      <c r="G433" s="164"/>
      <c r="H433" s="204" t="s">
        <v>940</v>
      </c>
      <c r="I433" s="211">
        <v>2009</v>
      </c>
      <c r="J433" s="208">
        <v>0</v>
      </c>
      <c r="K433" s="159"/>
      <c r="L433" s="204" t="s">
        <v>455</v>
      </c>
      <c r="N433" s="141">
        <f t="shared" si="14"/>
        <v>177</v>
      </c>
    </row>
    <row r="434" spans="1:14" ht="15">
      <c r="A434" s="159"/>
      <c r="B434" s="143" t="str">
        <f t="shared" si="13"/>
        <v>178.</v>
      </c>
      <c r="C434" s="205" t="s">
        <v>938</v>
      </c>
      <c r="D434" s="162"/>
      <c r="E434" s="163"/>
      <c r="F434" s="159"/>
      <c r="G434" s="164"/>
      <c r="H434" s="204" t="s">
        <v>940</v>
      </c>
      <c r="I434" s="211">
        <v>2010</v>
      </c>
      <c r="J434" s="208">
        <f>17000*2</f>
        <v>34000</v>
      </c>
      <c r="K434" s="159"/>
      <c r="L434" s="204" t="s">
        <v>455</v>
      </c>
      <c r="N434" s="141">
        <f t="shared" si="14"/>
        <v>178</v>
      </c>
    </row>
    <row r="435" spans="1:14" ht="15">
      <c r="A435" s="159"/>
      <c r="B435" s="143" t="str">
        <f t="shared" si="13"/>
        <v>179.</v>
      </c>
      <c r="C435" s="205" t="s">
        <v>938</v>
      </c>
      <c r="D435" s="162"/>
      <c r="E435" s="163"/>
      <c r="F435" s="159"/>
      <c r="G435" s="164"/>
      <c r="H435" s="204" t="s">
        <v>940</v>
      </c>
      <c r="I435" s="211">
        <v>2009</v>
      </c>
      <c r="J435" s="208">
        <f>17000*2</f>
        <v>34000</v>
      </c>
      <c r="K435" s="159"/>
      <c r="L435" s="204" t="s">
        <v>455</v>
      </c>
      <c r="N435" s="141">
        <f t="shared" si="14"/>
        <v>179</v>
      </c>
    </row>
    <row r="436" spans="1:14" ht="15">
      <c r="A436" s="159"/>
      <c r="B436" s="143" t="str">
        <f t="shared" si="13"/>
        <v>180.</v>
      </c>
      <c r="C436" s="205" t="s">
        <v>938</v>
      </c>
      <c r="D436" s="162"/>
      <c r="E436" s="163"/>
      <c r="F436" s="159"/>
      <c r="G436" s="164"/>
      <c r="H436" s="204" t="s">
        <v>940</v>
      </c>
      <c r="I436" s="211">
        <v>2011</v>
      </c>
      <c r="J436" s="208">
        <v>15000</v>
      </c>
      <c r="K436" s="159"/>
      <c r="L436" s="204" t="s">
        <v>455</v>
      </c>
      <c r="N436" s="141">
        <f t="shared" si="14"/>
        <v>180</v>
      </c>
    </row>
    <row r="437" spans="1:14" ht="15">
      <c r="A437" s="159"/>
      <c r="B437" s="143" t="str">
        <f t="shared" si="13"/>
        <v>181.</v>
      </c>
      <c r="C437" s="205" t="s">
        <v>938</v>
      </c>
      <c r="D437" s="162"/>
      <c r="E437" s="163"/>
      <c r="F437" s="159"/>
      <c r="G437" s="164"/>
      <c r="H437" s="204" t="s">
        <v>940</v>
      </c>
      <c r="I437" s="211">
        <v>2009</v>
      </c>
      <c r="J437" s="208">
        <v>22000</v>
      </c>
      <c r="K437" s="159"/>
      <c r="L437" s="204" t="s">
        <v>455</v>
      </c>
      <c r="N437" s="141">
        <f t="shared" si="14"/>
        <v>181</v>
      </c>
    </row>
    <row r="438" spans="1:14" ht="15">
      <c r="A438" s="159"/>
      <c r="B438" s="143" t="str">
        <f t="shared" si="13"/>
        <v>182.</v>
      </c>
      <c r="C438" s="205" t="s">
        <v>938</v>
      </c>
      <c r="D438" s="162"/>
      <c r="E438" s="163"/>
      <c r="F438" s="159"/>
      <c r="G438" s="164"/>
      <c r="H438" s="204" t="s">
        <v>940</v>
      </c>
      <c r="I438" s="211">
        <v>2009</v>
      </c>
      <c r="J438" s="208">
        <v>0</v>
      </c>
      <c r="K438" s="159"/>
      <c r="L438" s="204" t="s">
        <v>455</v>
      </c>
      <c r="N438" s="141">
        <f t="shared" si="14"/>
        <v>182</v>
      </c>
    </row>
    <row r="439" spans="1:14" ht="15">
      <c r="A439" s="159"/>
      <c r="B439" s="143" t="str">
        <f t="shared" si="13"/>
        <v>183.</v>
      </c>
      <c r="C439" s="205" t="s">
        <v>938</v>
      </c>
      <c r="D439" s="162"/>
      <c r="E439" s="163"/>
      <c r="F439" s="159"/>
      <c r="G439" s="164"/>
      <c r="H439" s="204" t="s">
        <v>940</v>
      </c>
      <c r="I439" s="211">
        <v>2009</v>
      </c>
      <c r="J439" s="208">
        <f>18000*2</f>
        <v>36000</v>
      </c>
      <c r="K439" s="159"/>
      <c r="L439" s="204" t="s">
        <v>455</v>
      </c>
      <c r="N439" s="141">
        <f t="shared" si="14"/>
        <v>183</v>
      </c>
    </row>
    <row r="440" spans="1:14" ht="15">
      <c r="A440" s="159"/>
      <c r="B440" s="143" t="str">
        <f t="shared" si="13"/>
        <v>184.</v>
      </c>
      <c r="C440" s="205" t="s">
        <v>938</v>
      </c>
      <c r="D440" s="162"/>
      <c r="E440" s="163"/>
      <c r="F440" s="159"/>
      <c r="G440" s="164"/>
      <c r="H440" s="204" t="s">
        <v>940</v>
      </c>
      <c r="I440" s="211">
        <v>2010</v>
      </c>
      <c r="J440" s="208">
        <v>0</v>
      </c>
      <c r="K440" s="159"/>
      <c r="L440" s="204" t="s">
        <v>455</v>
      </c>
      <c r="N440" s="141">
        <f t="shared" si="14"/>
        <v>184</v>
      </c>
    </row>
    <row r="441" spans="1:14" ht="15">
      <c r="A441" s="159"/>
      <c r="B441" s="143" t="str">
        <f t="shared" si="13"/>
        <v>185.</v>
      </c>
      <c r="C441" s="205" t="s">
        <v>938</v>
      </c>
      <c r="D441" s="162"/>
      <c r="E441" s="163"/>
      <c r="F441" s="159"/>
      <c r="G441" s="164"/>
      <c r="H441" s="204" t="s">
        <v>940</v>
      </c>
      <c r="I441" s="211">
        <v>2010</v>
      </c>
      <c r="J441" s="208">
        <v>0</v>
      </c>
      <c r="K441" s="159"/>
      <c r="L441" s="204" t="s">
        <v>455</v>
      </c>
      <c r="N441" s="141">
        <f t="shared" si="14"/>
        <v>185</v>
      </c>
    </row>
    <row r="442" spans="1:14" ht="15">
      <c r="A442" s="159"/>
      <c r="B442" s="143" t="str">
        <f t="shared" si="13"/>
        <v>186.</v>
      </c>
      <c r="C442" s="205" t="s">
        <v>938</v>
      </c>
      <c r="D442" s="162"/>
      <c r="E442" s="163"/>
      <c r="F442" s="159"/>
      <c r="G442" s="164"/>
      <c r="H442" s="204" t="s">
        <v>940</v>
      </c>
      <c r="I442" s="211">
        <v>2009</v>
      </c>
      <c r="J442" s="208">
        <v>0</v>
      </c>
      <c r="K442" s="159"/>
      <c r="L442" s="204" t="s">
        <v>455</v>
      </c>
      <c r="N442" s="141">
        <f t="shared" si="14"/>
        <v>186</v>
      </c>
    </row>
    <row r="443" spans="1:14" ht="15">
      <c r="A443" s="159"/>
      <c r="B443" s="143" t="str">
        <f t="shared" si="13"/>
        <v>187.</v>
      </c>
      <c r="C443" s="205" t="s">
        <v>938</v>
      </c>
      <c r="D443" s="162"/>
      <c r="E443" s="163"/>
      <c r="F443" s="159"/>
      <c r="G443" s="164"/>
      <c r="H443" s="204" t="s">
        <v>940</v>
      </c>
      <c r="I443" s="211">
        <v>2011</v>
      </c>
      <c r="J443" s="208">
        <v>0</v>
      </c>
      <c r="K443" s="159"/>
      <c r="L443" s="204" t="s">
        <v>455</v>
      </c>
      <c r="N443" s="141">
        <f t="shared" si="14"/>
        <v>187</v>
      </c>
    </row>
    <row r="444" spans="1:14" ht="15">
      <c r="A444" s="159"/>
      <c r="B444" s="143" t="str">
        <f t="shared" si="13"/>
        <v>188.</v>
      </c>
      <c r="C444" s="205" t="s">
        <v>938</v>
      </c>
      <c r="D444" s="162"/>
      <c r="E444" s="163"/>
      <c r="F444" s="159"/>
      <c r="G444" s="164"/>
      <c r="H444" s="204" t="s">
        <v>940</v>
      </c>
      <c r="I444" s="211">
        <v>2009</v>
      </c>
      <c r="J444" s="208">
        <v>0</v>
      </c>
      <c r="K444" s="159"/>
      <c r="L444" s="204" t="s">
        <v>455</v>
      </c>
      <c r="N444" s="141">
        <f t="shared" si="14"/>
        <v>188</v>
      </c>
    </row>
    <row r="445" spans="1:14" ht="15">
      <c r="A445" s="159"/>
      <c r="B445" s="143" t="str">
        <f t="shared" si="13"/>
        <v>189.</v>
      </c>
      <c r="C445" s="205" t="s">
        <v>938</v>
      </c>
      <c r="D445" s="162"/>
      <c r="E445" s="163"/>
      <c r="F445" s="159"/>
      <c r="G445" s="164"/>
      <c r="H445" s="204" t="s">
        <v>940</v>
      </c>
      <c r="I445" s="211">
        <v>2009</v>
      </c>
      <c r="J445" s="208">
        <f>17500*2</f>
        <v>35000</v>
      </c>
      <c r="K445" s="159"/>
      <c r="L445" s="204" t="s">
        <v>455</v>
      </c>
      <c r="N445" s="141">
        <f t="shared" si="14"/>
        <v>189</v>
      </c>
    </row>
    <row r="446" spans="1:14" ht="15">
      <c r="A446" s="159"/>
      <c r="B446" s="143" t="str">
        <f t="shared" si="13"/>
        <v>190.</v>
      </c>
      <c r="C446" s="205" t="s">
        <v>938</v>
      </c>
      <c r="D446" s="162"/>
      <c r="E446" s="163"/>
      <c r="F446" s="159"/>
      <c r="G446" s="164"/>
      <c r="H446" s="204" t="s">
        <v>940</v>
      </c>
      <c r="I446" s="211">
        <v>2009</v>
      </c>
      <c r="J446" s="208">
        <f>11000*2</f>
        <v>22000</v>
      </c>
      <c r="K446" s="159"/>
      <c r="L446" s="204" t="s">
        <v>455</v>
      </c>
      <c r="N446" s="141">
        <f t="shared" si="14"/>
        <v>190</v>
      </c>
    </row>
    <row r="447" spans="1:14" ht="15">
      <c r="A447" s="159"/>
      <c r="B447" s="143" t="str">
        <f t="shared" si="13"/>
        <v>191.</v>
      </c>
      <c r="C447" s="205" t="s">
        <v>938</v>
      </c>
      <c r="D447" s="162"/>
      <c r="E447" s="163"/>
      <c r="F447" s="159"/>
      <c r="G447" s="164"/>
      <c r="H447" s="204" t="s">
        <v>940</v>
      </c>
      <c r="I447" s="211">
        <v>2009</v>
      </c>
      <c r="J447" s="208">
        <f>15000*2</f>
        <v>30000</v>
      </c>
      <c r="K447" s="159"/>
      <c r="L447" s="204" t="s">
        <v>455</v>
      </c>
      <c r="N447" s="141">
        <f t="shared" si="14"/>
        <v>191</v>
      </c>
    </row>
    <row r="448" spans="1:14" ht="15">
      <c r="A448" s="159"/>
      <c r="B448" s="143" t="str">
        <f t="shared" si="13"/>
        <v>192.</v>
      </c>
      <c r="C448" s="205" t="s">
        <v>938</v>
      </c>
      <c r="D448" s="162"/>
      <c r="E448" s="163"/>
      <c r="F448" s="159"/>
      <c r="G448" s="164"/>
      <c r="H448" s="204" t="s">
        <v>940</v>
      </c>
      <c r="I448" s="211">
        <v>2010</v>
      </c>
      <c r="J448" s="208">
        <f>15000*2</f>
        <v>30000</v>
      </c>
      <c r="K448" s="159"/>
      <c r="L448" s="204" t="s">
        <v>455</v>
      </c>
      <c r="N448" s="141">
        <f t="shared" si="14"/>
        <v>192</v>
      </c>
    </row>
    <row r="449" spans="1:14" ht="15">
      <c r="A449" s="159"/>
      <c r="B449" s="143" t="str">
        <f t="shared" ref="B449:B512" si="15">N449&amp;"."</f>
        <v>193.</v>
      </c>
      <c r="C449" s="205" t="s">
        <v>938</v>
      </c>
      <c r="D449" s="162"/>
      <c r="E449" s="163"/>
      <c r="F449" s="159"/>
      <c r="G449" s="164"/>
      <c r="H449" s="204" t="s">
        <v>940</v>
      </c>
      <c r="I449" s="211">
        <v>2009</v>
      </c>
      <c r="J449" s="208">
        <v>0</v>
      </c>
      <c r="K449" s="159"/>
      <c r="L449" s="204" t="s">
        <v>455</v>
      </c>
      <c r="N449" s="141">
        <f t="shared" si="14"/>
        <v>193</v>
      </c>
    </row>
    <row r="450" spans="1:14" ht="15">
      <c r="A450" s="159"/>
      <c r="B450" s="143" t="str">
        <f t="shared" si="15"/>
        <v>194.</v>
      </c>
      <c r="C450" s="205" t="s">
        <v>938</v>
      </c>
      <c r="D450" s="162"/>
      <c r="E450" s="163"/>
      <c r="F450" s="159"/>
      <c r="G450" s="164"/>
      <c r="H450" s="204" t="s">
        <v>940</v>
      </c>
      <c r="I450" s="211">
        <v>2011</v>
      </c>
      <c r="J450" s="208">
        <v>0</v>
      </c>
      <c r="K450" s="159"/>
      <c r="L450" s="204" t="s">
        <v>455</v>
      </c>
      <c r="N450" s="141">
        <f t="shared" si="14"/>
        <v>194</v>
      </c>
    </row>
    <row r="451" spans="1:14" ht="15">
      <c r="A451" s="159"/>
      <c r="B451" s="143" t="str">
        <f t="shared" si="15"/>
        <v>195.</v>
      </c>
      <c r="C451" s="205" t="s">
        <v>938</v>
      </c>
      <c r="D451" s="162"/>
      <c r="E451" s="163"/>
      <c r="F451" s="159"/>
      <c r="G451" s="164"/>
      <c r="H451" s="204" t="s">
        <v>940</v>
      </c>
      <c r="I451" s="211">
        <v>2010</v>
      </c>
      <c r="J451" s="208">
        <v>0</v>
      </c>
      <c r="K451" s="159"/>
      <c r="L451" s="204" t="s">
        <v>455</v>
      </c>
      <c r="N451" s="141">
        <f t="shared" ref="N451:N514" si="16">N450+1</f>
        <v>195</v>
      </c>
    </row>
    <row r="452" spans="1:14" ht="15">
      <c r="A452" s="159"/>
      <c r="B452" s="143" t="str">
        <f t="shared" si="15"/>
        <v>196.</v>
      </c>
      <c r="C452" s="205" t="s">
        <v>938</v>
      </c>
      <c r="D452" s="162"/>
      <c r="E452" s="163"/>
      <c r="F452" s="159"/>
      <c r="G452" s="164"/>
      <c r="H452" s="204" t="s">
        <v>940</v>
      </c>
      <c r="I452" s="211">
        <v>2010</v>
      </c>
      <c r="J452" s="208">
        <f>20000*2</f>
        <v>40000</v>
      </c>
      <c r="K452" s="159"/>
      <c r="L452" s="204" t="s">
        <v>455</v>
      </c>
      <c r="N452" s="141">
        <f t="shared" si="16"/>
        <v>196</v>
      </c>
    </row>
    <row r="453" spans="1:14" ht="15">
      <c r="A453" s="159"/>
      <c r="B453" s="143" t="str">
        <f t="shared" si="15"/>
        <v>197.</v>
      </c>
      <c r="C453" s="205" t="s">
        <v>938</v>
      </c>
      <c r="D453" s="162"/>
      <c r="E453" s="163"/>
      <c r="F453" s="159"/>
      <c r="G453" s="164"/>
      <c r="H453" s="204" t="s">
        <v>940</v>
      </c>
      <c r="I453" s="211">
        <v>2011</v>
      </c>
      <c r="J453" s="208">
        <v>0</v>
      </c>
      <c r="K453" s="159"/>
      <c r="L453" s="204" t="s">
        <v>455</v>
      </c>
      <c r="N453" s="141">
        <f t="shared" si="16"/>
        <v>197</v>
      </c>
    </row>
    <row r="454" spans="1:14" ht="15">
      <c r="A454" s="159"/>
      <c r="B454" s="143" t="str">
        <f t="shared" si="15"/>
        <v>198.</v>
      </c>
      <c r="C454" s="205" t="s">
        <v>938</v>
      </c>
      <c r="D454" s="162"/>
      <c r="E454" s="163"/>
      <c r="F454" s="159"/>
      <c r="G454" s="164"/>
      <c r="H454" s="204" t="s">
        <v>940</v>
      </c>
      <c r="I454" s="211">
        <v>2011</v>
      </c>
      <c r="J454" s="208">
        <v>0</v>
      </c>
      <c r="K454" s="159"/>
      <c r="L454" s="204" t="s">
        <v>455</v>
      </c>
      <c r="N454" s="141">
        <f t="shared" si="16"/>
        <v>198</v>
      </c>
    </row>
    <row r="455" spans="1:14" ht="15">
      <c r="A455" s="159"/>
      <c r="B455" s="143" t="str">
        <f t="shared" si="15"/>
        <v>199.</v>
      </c>
      <c r="C455" s="205" t="s">
        <v>938</v>
      </c>
      <c r="D455" s="162"/>
      <c r="E455" s="163"/>
      <c r="F455" s="159"/>
      <c r="G455" s="164"/>
      <c r="H455" s="204" t="s">
        <v>940</v>
      </c>
      <c r="I455" s="211">
        <v>2009</v>
      </c>
      <c r="J455" s="208">
        <f>20000*2</f>
        <v>40000</v>
      </c>
      <c r="K455" s="159"/>
      <c r="L455" s="204" t="s">
        <v>455</v>
      </c>
      <c r="N455" s="141">
        <f t="shared" si="16"/>
        <v>199</v>
      </c>
    </row>
    <row r="456" spans="1:14" ht="15">
      <c r="A456" s="159"/>
      <c r="B456" s="143" t="str">
        <f t="shared" si="15"/>
        <v>200.</v>
      </c>
      <c r="C456" s="205" t="s">
        <v>938</v>
      </c>
      <c r="D456" s="162"/>
      <c r="E456" s="163"/>
      <c r="F456" s="159"/>
      <c r="G456" s="164"/>
      <c r="H456" s="204" t="s">
        <v>940</v>
      </c>
      <c r="I456" s="211">
        <v>2009</v>
      </c>
      <c r="J456" s="208">
        <f>18000*2</f>
        <v>36000</v>
      </c>
      <c r="K456" s="159"/>
      <c r="L456" s="204" t="s">
        <v>455</v>
      </c>
      <c r="N456" s="141">
        <f t="shared" si="16"/>
        <v>200</v>
      </c>
    </row>
    <row r="457" spans="1:14" ht="15">
      <c r="A457" s="159"/>
      <c r="B457" s="143" t="str">
        <f t="shared" si="15"/>
        <v>201.</v>
      </c>
      <c r="C457" s="205" t="s">
        <v>938</v>
      </c>
      <c r="D457" s="162"/>
      <c r="E457" s="163"/>
      <c r="F457" s="159"/>
      <c r="G457" s="164"/>
      <c r="H457" s="204" t="s">
        <v>940</v>
      </c>
      <c r="I457" s="211">
        <v>2010</v>
      </c>
      <c r="J457" s="208">
        <v>0</v>
      </c>
      <c r="K457" s="159"/>
      <c r="L457" s="204" t="s">
        <v>455</v>
      </c>
      <c r="N457" s="141">
        <f t="shared" si="16"/>
        <v>201</v>
      </c>
    </row>
    <row r="458" spans="1:14" ht="15">
      <c r="A458" s="159"/>
      <c r="B458" s="143" t="str">
        <f t="shared" si="15"/>
        <v>202.</v>
      </c>
      <c r="C458" s="205" t="s">
        <v>938</v>
      </c>
      <c r="D458" s="162"/>
      <c r="E458" s="163"/>
      <c r="F458" s="159"/>
      <c r="G458" s="164"/>
      <c r="H458" s="204" t="s">
        <v>940</v>
      </c>
      <c r="I458" s="211">
        <v>2009</v>
      </c>
      <c r="J458" s="208">
        <v>0</v>
      </c>
      <c r="K458" s="159"/>
      <c r="L458" s="204" t="s">
        <v>455</v>
      </c>
      <c r="N458" s="141">
        <f t="shared" si="16"/>
        <v>202</v>
      </c>
    </row>
    <row r="459" spans="1:14" ht="15">
      <c r="A459" s="159"/>
      <c r="B459" s="143" t="str">
        <f t="shared" si="15"/>
        <v>203.</v>
      </c>
      <c r="C459" s="205" t="s">
        <v>938</v>
      </c>
      <c r="D459" s="162"/>
      <c r="E459" s="163"/>
      <c r="F459" s="159"/>
      <c r="G459" s="164"/>
      <c r="H459" s="204" t="s">
        <v>940</v>
      </c>
      <c r="I459" s="211">
        <v>2009</v>
      </c>
      <c r="J459" s="208">
        <v>28000</v>
      </c>
      <c r="K459" s="159"/>
      <c r="L459" s="204" t="s">
        <v>455</v>
      </c>
      <c r="N459" s="141">
        <f t="shared" si="16"/>
        <v>203</v>
      </c>
    </row>
    <row r="460" spans="1:14" ht="15">
      <c r="A460" s="159"/>
      <c r="B460" s="143" t="str">
        <f t="shared" si="15"/>
        <v>204.</v>
      </c>
      <c r="C460" s="205" t="s">
        <v>938</v>
      </c>
      <c r="D460" s="162"/>
      <c r="E460" s="163"/>
      <c r="F460" s="159"/>
      <c r="G460" s="164"/>
      <c r="H460" s="204" t="s">
        <v>940</v>
      </c>
      <c r="I460" s="211">
        <v>2009</v>
      </c>
      <c r="J460" s="208">
        <v>0</v>
      </c>
      <c r="K460" s="159"/>
      <c r="L460" s="204" t="s">
        <v>455</v>
      </c>
      <c r="N460" s="141">
        <f t="shared" si="16"/>
        <v>204</v>
      </c>
    </row>
    <row r="461" spans="1:14" ht="15">
      <c r="A461" s="159"/>
      <c r="B461" s="143" t="str">
        <f t="shared" si="15"/>
        <v>205.</v>
      </c>
      <c r="C461" s="205" t="s">
        <v>938</v>
      </c>
      <c r="D461" s="162"/>
      <c r="E461" s="163"/>
      <c r="F461" s="159"/>
      <c r="G461" s="164"/>
      <c r="H461" s="204" t="s">
        <v>940</v>
      </c>
      <c r="I461" s="211">
        <v>2009</v>
      </c>
      <c r="J461" s="208">
        <v>15000</v>
      </c>
      <c r="K461" s="159"/>
      <c r="L461" s="204" t="s">
        <v>455</v>
      </c>
      <c r="N461" s="141">
        <f t="shared" si="16"/>
        <v>205</v>
      </c>
    </row>
    <row r="462" spans="1:14" ht="15">
      <c r="A462" s="159"/>
      <c r="B462" s="143" t="str">
        <f t="shared" si="15"/>
        <v>206.</v>
      </c>
      <c r="C462" s="205" t="s">
        <v>938</v>
      </c>
      <c r="D462" s="162"/>
      <c r="E462" s="163"/>
      <c r="F462" s="159"/>
      <c r="G462" s="164"/>
      <c r="H462" s="204" t="s">
        <v>940</v>
      </c>
      <c r="I462" s="211">
        <v>2009</v>
      </c>
      <c r="J462" s="208">
        <v>0</v>
      </c>
      <c r="K462" s="159"/>
      <c r="L462" s="204" t="s">
        <v>455</v>
      </c>
      <c r="N462" s="141">
        <f t="shared" si="16"/>
        <v>206</v>
      </c>
    </row>
    <row r="463" spans="1:14" ht="15">
      <c r="A463" s="159"/>
      <c r="B463" s="143" t="str">
        <f t="shared" si="15"/>
        <v>207.</v>
      </c>
      <c r="C463" s="205" t="s">
        <v>938</v>
      </c>
      <c r="D463" s="162"/>
      <c r="E463" s="163"/>
      <c r="F463" s="159"/>
      <c r="G463" s="164"/>
      <c r="H463" s="204" t="s">
        <v>940</v>
      </c>
      <c r="I463" s="211">
        <v>2010</v>
      </c>
      <c r="J463" s="208">
        <f>15000*2</f>
        <v>30000</v>
      </c>
      <c r="K463" s="159"/>
      <c r="L463" s="204" t="s">
        <v>455</v>
      </c>
      <c r="N463" s="141">
        <f t="shared" si="16"/>
        <v>207</v>
      </c>
    </row>
    <row r="464" spans="1:14" ht="15">
      <c r="A464" s="159"/>
      <c r="B464" s="143" t="str">
        <f t="shared" si="15"/>
        <v>208.</v>
      </c>
      <c r="C464" s="205" t="s">
        <v>938</v>
      </c>
      <c r="D464" s="162"/>
      <c r="E464" s="163"/>
      <c r="F464" s="159"/>
      <c r="G464" s="164"/>
      <c r="H464" s="204" t="s">
        <v>940</v>
      </c>
      <c r="I464" s="211">
        <v>2010</v>
      </c>
      <c r="J464" s="208">
        <v>15000</v>
      </c>
      <c r="K464" s="159"/>
      <c r="L464" s="204" t="s">
        <v>455</v>
      </c>
      <c r="N464" s="141">
        <f t="shared" si="16"/>
        <v>208</v>
      </c>
    </row>
    <row r="465" spans="1:14" ht="15">
      <c r="A465" s="159"/>
      <c r="B465" s="143" t="str">
        <f t="shared" si="15"/>
        <v>209.</v>
      </c>
      <c r="C465" s="205" t="s">
        <v>938</v>
      </c>
      <c r="D465" s="162"/>
      <c r="E465" s="163"/>
      <c r="F465" s="159"/>
      <c r="G465" s="164"/>
      <c r="H465" s="204" t="s">
        <v>940</v>
      </c>
      <c r="I465" s="211">
        <v>2010</v>
      </c>
      <c r="J465" s="208">
        <v>15000</v>
      </c>
      <c r="K465" s="159"/>
      <c r="L465" s="204" t="s">
        <v>455</v>
      </c>
      <c r="N465" s="141">
        <f t="shared" si="16"/>
        <v>209</v>
      </c>
    </row>
    <row r="466" spans="1:14" ht="15">
      <c r="A466" s="159"/>
      <c r="B466" s="143" t="str">
        <f t="shared" si="15"/>
        <v>210.</v>
      </c>
      <c r="C466" s="205" t="s">
        <v>938</v>
      </c>
      <c r="D466" s="162"/>
      <c r="E466" s="163"/>
      <c r="F466" s="159"/>
      <c r="G466" s="164"/>
      <c r="H466" s="204" t="s">
        <v>940</v>
      </c>
      <c r="I466" s="211">
        <v>2009</v>
      </c>
      <c r="J466" s="208">
        <v>0</v>
      </c>
      <c r="K466" s="159"/>
      <c r="L466" s="204" t="s">
        <v>455</v>
      </c>
      <c r="N466" s="141">
        <f t="shared" si="16"/>
        <v>210</v>
      </c>
    </row>
    <row r="467" spans="1:14" ht="15">
      <c r="A467" s="159"/>
      <c r="B467" s="143" t="str">
        <f t="shared" si="15"/>
        <v>211.</v>
      </c>
      <c r="C467" s="205" t="s">
        <v>938</v>
      </c>
      <c r="D467" s="162"/>
      <c r="E467" s="163"/>
      <c r="F467" s="159"/>
      <c r="G467" s="164"/>
      <c r="H467" s="204" t="s">
        <v>940</v>
      </c>
      <c r="I467" s="211">
        <v>2009</v>
      </c>
      <c r="J467" s="208">
        <v>15000</v>
      </c>
      <c r="K467" s="159"/>
      <c r="L467" s="204" t="s">
        <v>455</v>
      </c>
      <c r="N467" s="141">
        <f t="shared" si="16"/>
        <v>211</v>
      </c>
    </row>
    <row r="468" spans="1:14" ht="15">
      <c r="A468" s="159"/>
      <c r="B468" s="143" t="str">
        <f t="shared" si="15"/>
        <v>212.</v>
      </c>
      <c r="C468" s="205" t="s">
        <v>938</v>
      </c>
      <c r="D468" s="162"/>
      <c r="E468" s="163"/>
      <c r="F468" s="159"/>
      <c r="G468" s="164"/>
      <c r="H468" s="204" t="s">
        <v>940</v>
      </c>
      <c r="I468" s="211">
        <v>2010</v>
      </c>
      <c r="J468" s="208">
        <v>0</v>
      </c>
      <c r="K468" s="159"/>
      <c r="L468" s="204" t="s">
        <v>455</v>
      </c>
      <c r="N468" s="141">
        <f t="shared" si="16"/>
        <v>212</v>
      </c>
    </row>
    <row r="469" spans="1:14" ht="15">
      <c r="A469" s="159"/>
      <c r="B469" s="143" t="str">
        <f t="shared" si="15"/>
        <v>213.</v>
      </c>
      <c r="C469" s="205" t="s">
        <v>938</v>
      </c>
      <c r="D469" s="162"/>
      <c r="E469" s="163"/>
      <c r="F469" s="159"/>
      <c r="G469" s="164"/>
      <c r="H469" s="204" t="s">
        <v>940</v>
      </c>
      <c r="I469" s="211">
        <v>2010</v>
      </c>
      <c r="J469" s="208">
        <v>0</v>
      </c>
      <c r="K469" s="159"/>
      <c r="L469" s="204" t="s">
        <v>455</v>
      </c>
      <c r="N469" s="141">
        <f t="shared" si="16"/>
        <v>213</v>
      </c>
    </row>
    <row r="470" spans="1:14" ht="15">
      <c r="A470" s="159"/>
      <c r="B470" s="143" t="str">
        <f t="shared" si="15"/>
        <v>214.</v>
      </c>
      <c r="C470" s="205" t="s">
        <v>938</v>
      </c>
      <c r="D470" s="162"/>
      <c r="E470" s="163"/>
      <c r="F470" s="159"/>
      <c r="G470" s="164"/>
      <c r="H470" s="204" t="s">
        <v>940</v>
      </c>
      <c r="I470" s="211">
        <v>2010</v>
      </c>
      <c r="J470" s="208">
        <v>0</v>
      </c>
      <c r="K470" s="159"/>
      <c r="L470" s="204" t="s">
        <v>455</v>
      </c>
      <c r="N470" s="141">
        <f t="shared" si="16"/>
        <v>214</v>
      </c>
    </row>
    <row r="471" spans="1:14" ht="15">
      <c r="A471" s="159"/>
      <c r="B471" s="143" t="str">
        <f t="shared" si="15"/>
        <v>215.</v>
      </c>
      <c r="C471" s="205" t="s">
        <v>938</v>
      </c>
      <c r="D471" s="162"/>
      <c r="E471" s="163"/>
      <c r="F471" s="159"/>
      <c r="G471" s="164"/>
      <c r="H471" s="204" t="s">
        <v>940</v>
      </c>
      <c r="I471" s="211">
        <v>2010</v>
      </c>
      <c r="J471" s="208">
        <f>13000*2</f>
        <v>26000</v>
      </c>
      <c r="K471" s="159"/>
      <c r="L471" s="204" t="s">
        <v>455</v>
      </c>
      <c r="N471" s="141">
        <f t="shared" si="16"/>
        <v>215</v>
      </c>
    </row>
    <row r="472" spans="1:14" ht="15">
      <c r="A472" s="159"/>
      <c r="B472" s="143" t="str">
        <f t="shared" si="15"/>
        <v>216.</v>
      </c>
      <c r="C472" s="205" t="s">
        <v>938</v>
      </c>
      <c r="D472" s="162"/>
      <c r="E472" s="163"/>
      <c r="F472" s="159"/>
      <c r="G472" s="164"/>
      <c r="H472" s="204" t="s">
        <v>940</v>
      </c>
      <c r="I472" s="211">
        <v>2009</v>
      </c>
      <c r="J472" s="208">
        <v>0</v>
      </c>
      <c r="K472" s="159"/>
      <c r="L472" s="204" t="s">
        <v>455</v>
      </c>
      <c r="N472" s="141">
        <f t="shared" si="16"/>
        <v>216</v>
      </c>
    </row>
    <row r="473" spans="1:14" ht="15">
      <c r="A473" s="159"/>
      <c r="B473" s="143" t="str">
        <f t="shared" si="15"/>
        <v>217.</v>
      </c>
      <c r="C473" s="205" t="s">
        <v>938</v>
      </c>
      <c r="D473" s="162"/>
      <c r="E473" s="163"/>
      <c r="F473" s="159"/>
      <c r="G473" s="164"/>
      <c r="H473" s="204" t="s">
        <v>940</v>
      </c>
      <c r="I473" s="211">
        <v>2010</v>
      </c>
      <c r="J473" s="208">
        <f>33000*2</f>
        <v>66000</v>
      </c>
      <c r="K473" s="159"/>
      <c r="L473" s="204" t="s">
        <v>455</v>
      </c>
      <c r="N473" s="141">
        <f t="shared" si="16"/>
        <v>217</v>
      </c>
    </row>
    <row r="474" spans="1:14" ht="15">
      <c r="A474" s="159"/>
      <c r="B474" s="143" t="str">
        <f t="shared" si="15"/>
        <v>218.</v>
      </c>
      <c r="C474" s="205" t="s">
        <v>938</v>
      </c>
      <c r="D474" s="162"/>
      <c r="E474" s="163"/>
      <c r="F474" s="159"/>
      <c r="G474" s="164"/>
      <c r="H474" s="204" t="s">
        <v>940</v>
      </c>
      <c r="I474" s="211">
        <v>2009</v>
      </c>
      <c r="J474" s="208">
        <v>0</v>
      </c>
      <c r="K474" s="159"/>
      <c r="L474" s="204" t="s">
        <v>455</v>
      </c>
      <c r="N474" s="141">
        <f t="shared" si="16"/>
        <v>218</v>
      </c>
    </row>
    <row r="475" spans="1:14" ht="15">
      <c r="A475" s="159"/>
      <c r="B475" s="143" t="str">
        <f t="shared" si="15"/>
        <v>219.</v>
      </c>
      <c r="C475" s="205" t="s">
        <v>938</v>
      </c>
      <c r="D475" s="162"/>
      <c r="E475" s="163"/>
      <c r="F475" s="159"/>
      <c r="G475" s="164"/>
      <c r="H475" s="204" t="s">
        <v>940</v>
      </c>
      <c r="I475" s="211">
        <v>2009</v>
      </c>
      <c r="J475" s="208">
        <f>18000*2</f>
        <v>36000</v>
      </c>
      <c r="K475" s="159"/>
      <c r="L475" s="204" t="s">
        <v>455</v>
      </c>
      <c r="N475" s="141">
        <f t="shared" si="16"/>
        <v>219</v>
      </c>
    </row>
    <row r="476" spans="1:14" ht="15">
      <c r="A476" s="159"/>
      <c r="B476" s="143" t="str">
        <f t="shared" si="15"/>
        <v>220.</v>
      </c>
      <c r="C476" s="205" t="s">
        <v>938</v>
      </c>
      <c r="D476" s="162"/>
      <c r="E476" s="163"/>
      <c r="F476" s="159"/>
      <c r="G476" s="164"/>
      <c r="H476" s="204" t="s">
        <v>940</v>
      </c>
      <c r="I476" s="211">
        <v>2010</v>
      </c>
      <c r="J476" s="208">
        <f>35000*2</f>
        <v>70000</v>
      </c>
      <c r="K476" s="159"/>
      <c r="L476" s="204" t="s">
        <v>455</v>
      </c>
      <c r="N476" s="141">
        <f t="shared" si="16"/>
        <v>220</v>
      </c>
    </row>
    <row r="477" spans="1:14" ht="15">
      <c r="A477" s="159"/>
      <c r="B477" s="143" t="str">
        <f t="shared" si="15"/>
        <v>221.</v>
      </c>
      <c r="C477" s="205" t="s">
        <v>938</v>
      </c>
      <c r="D477" s="162"/>
      <c r="E477" s="163"/>
      <c r="F477" s="159"/>
      <c r="G477" s="164"/>
      <c r="H477" s="204" t="s">
        <v>940</v>
      </c>
      <c r="I477" s="211">
        <v>2009</v>
      </c>
      <c r="J477" s="208">
        <f>30000*2</f>
        <v>60000</v>
      </c>
      <c r="K477" s="159"/>
      <c r="L477" s="204" t="s">
        <v>455</v>
      </c>
      <c r="N477" s="141">
        <f t="shared" si="16"/>
        <v>221</v>
      </c>
    </row>
    <row r="478" spans="1:14" ht="15">
      <c r="A478" s="159"/>
      <c r="B478" s="143" t="str">
        <f t="shared" si="15"/>
        <v>222.</v>
      </c>
      <c r="C478" s="205" t="s">
        <v>938</v>
      </c>
      <c r="D478" s="162"/>
      <c r="E478" s="163"/>
      <c r="F478" s="159"/>
      <c r="G478" s="164"/>
      <c r="H478" s="204" t="s">
        <v>940</v>
      </c>
      <c r="I478" s="211">
        <v>2009</v>
      </c>
      <c r="J478" s="208">
        <v>0</v>
      </c>
      <c r="K478" s="159"/>
      <c r="L478" s="204" t="s">
        <v>455</v>
      </c>
      <c r="N478" s="141">
        <f t="shared" si="16"/>
        <v>222</v>
      </c>
    </row>
    <row r="479" spans="1:14" ht="15">
      <c r="A479" s="159"/>
      <c r="B479" s="143" t="str">
        <f t="shared" si="15"/>
        <v>223.</v>
      </c>
      <c r="C479" s="205" t="s">
        <v>938</v>
      </c>
      <c r="D479" s="162"/>
      <c r="E479" s="163"/>
      <c r="F479" s="159"/>
      <c r="G479" s="164"/>
      <c r="H479" s="204" t="s">
        <v>940</v>
      </c>
      <c r="I479" s="211">
        <v>2009</v>
      </c>
      <c r="J479" s="208">
        <v>0</v>
      </c>
      <c r="K479" s="159"/>
      <c r="L479" s="204" t="s">
        <v>455</v>
      </c>
      <c r="N479" s="141">
        <f t="shared" si="16"/>
        <v>223</v>
      </c>
    </row>
    <row r="480" spans="1:14" ht="15">
      <c r="A480" s="159"/>
      <c r="B480" s="143" t="str">
        <f t="shared" si="15"/>
        <v>224.</v>
      </c>
      <c r="C480" s="205" t="s">
        <v>938</v>
      </c>
      <c r="D480" s="162"/>
      <c r="E480" s="163"/>
      <c r="F480" s="159"/>
      <c r="G480" s="164"/>
      <c r="H480" s="204" t="s">
        <v>940</v>
      </c>
      <c r="I480" s="211">
        <v>2009</v>
      </c>
      <c r="J480" s="208">
        <v>0</v>
      </c>
      <c r="K480" s="159"/>
      <c r="L480" s="204" t="s">
        <v>455</v>
      </c>
      <c r="N480" s="141">
        <f t="shared" si="16"/>
        <v>224</v>
      </c>
    </row>
    <row r="481" spans="1:14" ht="15">
      <c r="A481" s="159"/>
      <c r="B481" s="143" t="str">
        <f t="shared" si="15"/>
        <v>225.</v>
      </c>
      <c r="C481" s="205" t="s">
        <v>938</v>
      </c>
      <c r="D481" s="162"/>
      <c r="E481" s="163"/>
      <c r="F481" s="159"/>
      <c r="G481" s="164"/>
      <c r="H481" s="204" t="s">
        <v>940</v>
      </c>
      <c r="I481" s="211">
        <v>2009</v>
      </c>
      <c r="J481" s="208">
        <f>30000*2</f>
        <v>60000</v>
      </c>
      <c r="K481" s="159"/>
      <c r="L481" s="204" t="s">
        <v>455</v>
      </c>
      <c r="N481" s="141">
        <f t="shared" si="16"/>
        <v>225</v>
      </c>
    </row>
    <row r="482" spans="1:14" ht="15">
      <c r="A482" s="159"/>
      <c r="B482" s="143" t="str">
        <f t="shared" si="15"/>
        <v>226.</v>
      </c>
      <c r="C482" s="205" t="s">
        <v>938</v>
      </c>
      <c r="D482" s="162"/>
      <c r="E482" s="163"/>
      <c r="F482" s="159"/>
      <c r="G482" s="164"/>
      <c r="H482" s="204" t="s">
        <v>940</v>
      </c>
      <c r="I482" s="211">
        <v>2009</v>
      </c>
      <c r="J482" s="208">
        <v>0</v>
      </c>
      <c r="K482" s="159"/>
      <c r="L482" s="204" t="s">
        <v>455</v>
      </c>
      <c r="N482" s="141">
        <f t="shared" si="16"/>
        <v>226</v>
      </c>
    </row>
    <row r="483" spans="1:14" ht="15">
      <c r="A483" s="159"/>
      <c r="B483" s="143" t="str">
        <f t="shared" si="15"/>
        <v>227.</v>
      </c>
      <c r="C483" s="205" t="s">
        <v>938</v>
      </c>
      <c r="D483" s="162"/>
      <c r="E483" s="163"/>
      <c r="F483" s="159"/>
      <c r="G483" s="164"/>
      <c r="H483" s="204" t="s">
        <v>940</v>
      </c>
      <c r="I483" s="211">
        <v>2011</v>
      </c>
      <c r="J483" s="208">
        <v>0</v>
      </c>
      <c r="K483" s="159"/>
      <c r="L483" s="204" t="s">
        <v>455</v>
      </c>
      <c r="N483" s="141">
        <f t="shared" si="16"/>
        <v>227</v>
      </c>
    </row>
    <row r="484" spans="1:14" ht="15">
      <c r="A484" s="159"/>
      <c r="B484" s="143" t="str">
        <f t="shared" si="15"/>
        <v>228.</v>
      </c>
      <c r="C484" s="205" t="s">
        <v>938</v>
      </c>
      <c r="D484" s="162"/>
      <c r="E484" s="163"/>
      <c r="F484" s="159"/>
      <c r="G484" s="164"/>
      <c r="H484" s="204" t="s">
        <v>940</v>
      </c>
      <c r="I484" s="211">
        <v>2011</v>
      </c>
      <c r="J484" s="208">
        <v>0</v>
      </c>
      <c r="K484" s="159"/>
      <c r="L484" s="204" t="s">
        <v>455</v>
      </c>
      <c r="N484" s="141">
        <f t="shared" si="16"/>
        <v>228</v>
      </c>
    </row>
    <row r="485" spans="1:14" ht="15">
      <c r="A485" s="159"/>
      <c r="B485" s="143" t="str">
        <f t="shared" si="15"/>
        <v>229.</v>
      </c>
      <c r="C485" s="205" t="s">
        <v>938</v>
      </c>
      <c r="D485" s="162"/>
      <c r="E485" s="163"/>
      <c r="F485" s="159"/>
      <c r="G485" s="164"/>
      <c r="H485" s="204" t="s">
        <v>940</v>
      </c>
      <c r="I485" s="211">
        <v>2010</v>
      </c>
      <c r="J485" s="208">
        <f>30000*2</f>
        <v>60000</v>
      </c>
      <c r="K485" s="159"/>
      <c r="L485" s="204" t="s">
        <v>455</v>
      </c>
      <c r="N485" s="141">
        <f t="shared" si="16"/>
        <v>229</v>
      </c>
    </row>
    <row r="486" spans="1:14" ht="15">
      <c r="A486" s="159"/>
      <c r="B486" s="143" t="str">
        <f t="shared" si="15"/>
        <v>230.</v>
      </c>
      <c r="C486" s="205" t="s">
        <v>938</v>
      </c>
      <c r="D486" s="162"/>
      <c r="E486" s="163"/>
      <c r="F486" s="159"/>
      <c r="G486" s="164"/>
      <c r="H486" s="204" t="s">
        <v>940</v>
      </c>
      <c r="I486" s="211">
        <v>2010</v>
      </c>
      <c r="J486" s="208">
        <f>30000*2</f>
        <v>60000</v>
      </c>
      <c r="K486" s="159"/>
      <c r="L486" s="204" t="s">
        <v>455</v>
      </c>
      <c r="N486" s="141">
        <f t="shared" si="16"/>
        <v>230</v>
      </c>
    </row>
    <row r="487" spans="1:14" ht="15">
      <c r="A487" s="159"/>
      <c r="B487" s="143" t="str">
        <f t="shared" si="15"/>
        <v>231.</v>
      </c>
      <c r="C487" s="205" t="s">
        <v>938</v>
      </c>
      <c r="D487" s="162"/>
      <c r="E487" s="163"/>
      <c r="F487" s="159"/>
      <c r="G487" s="164"/>
      <c r="H487" s="204" t="s">
        <v>940</v>
      </c>
      <c r="I487" s="211">
        <v>2009</v>
      </c>
      <c r="J487" s="208">
        <v>0</v>
      </c>
      <c r="K487" s="159"/>
      <c r="L487" s="204" t="s">
        <v>455</v>
      </c>
      <c r="N487" s="141">
        <f t="shared" si="16"/>
        <v>231</v>
      </c>
    </row>
    <row r="488" spans="1:14" ht="15">
      <c r="A488" s="159"/>
      <c r="B488" s="143" t="str">
        <f t="shared" si="15"/>
        <v>232.</v>
      </c>
      <c r="C488" s="205" t="s">
        <v>938</v>
      </c>
      <c r="D488" s="162"/>
      <c r="E488" s="163"/>
      <c r="F488" s="159"/>
      <c r="G488" s="164"/>
      <c r="H488" s="204" t="s">
        <v>940</v>
      </c>
      <c r="I488" s="211">
        <v>2010</v>
      </c>
      <c r="J488" s="208">
        <f>35000*2</f>
        <v>70000</v>
      </c>
      <c r="K488" s="159"/>
      <c r="L488" s="204" t="s">
        <v>455</v>
      </c>
      <c r="N488" s="141">
        <f t="shared" si="16"/>
        <v>232</v>
      </c>
    </row>
    <row r="489" spans="1:14" ht="15">
      <c r="A489" s="159"/>
      <c r="B489" s="143" t="str">
        <f t="shared" si="15"/>
        <v>233.</v>
      </c>
      <c r="C489" s="205" t="s">
        <v>938</v>
      </c>
      <c r="D489" s="162"/>
      <c r="E489" s="163"/>
      <c r="F489" s="159"/>
      <c r="G489" s="164"/>
      <c r="H489" s="204" t="s">
        <v>940</v>
      </c>
      <c r="I489" s="211">
        <v>2011</v>
      </c>
      <c r="J489" s="208">
        <f>15000*2</f>
        <v>30000</v>
      </c>
      <c r="K489" s="159"/>
      <c r="L489" s="204" t="s">
        <v>455</v>
      </c>
      <c r="N489" s="141">
        <f t="shared" si="16"/>
        <v>233</v>
      </c>
    </row>
    <row r="490" spans="1:14" ht="15">
      <c r="A490" s="159"/>
      <c r="B490" s="143" t="str">
        <f t="shared" si="15"/>
        <v>234.</v>
      </c>
      <c r="C490" s="205" t="s">
        <v>938</v>
      </c>
      <c r="D490" s="162"/>
      <c r="E490" s="163"/>
      <c r="F490" s="159"/>
      <c r="G490" s="164"/>
      <c r="H490" s="204" t="s">
        <v>940</v>
      </c>
      <c r="I490" s="211">
        <v>2009</v>
      </c>
      <c r="J490" s="208">
        <v>0</v>
      </c>
      <c r="K490" s="159"/>
      <c r="L490" s="204" t="s">
        <v>455</v>
      </c>
      <c r="N490" s="141">
        <f t="shared" si="16"/>
        <v>234</v>
      </c>
    </row>
    <row r="491" spans="1:14" ht="15">
      <c r="A491" s="159"/>
      <c r="B491" s="143" t="str">
        <f t="shared" si="15"/>
        <v>235.</v>
      </c>
      <c r="C491" s="205" t="s">
        <v>938</v>
      </c>
      <c r="D491" s="162"/>
      <c r="E491" s="163"/>
      <c r="F491" s="159"/>
      <c r="G491" s="164"/>
      <c r="H491" s="204" t="s">
        <v>940</v>
      </c>
      <c r="I491" s="211">
        <v>2009</v>
      </c>
      <c r="J491" s="208">
        <v>0</v>
      </c>
      <c r="K491" s="159"/>
      <c r="L491" s="204" t="s">
        <v>455</v>
      </c>
      <c r="N491" s="141">
        <f t="shared" si="16"/>
        <v>235</v>
      </c>
    </row>
    <row r="492" spans="1:14" ht="15">
      <c r="A492" s="159"/>
      <c r="B492" s="143" t="str">
        <f t="shared" si="15"/>
        <v>236.</v>
      </c>
      <c r="C492" s="205" t="s">
        <v>938</v>
      </c>
      <c r="D492" s="162"/>
      <c r="E492" s="163"/>
      <c r="F492" s="159"/>
      <c r="G492" s="164"/>
      <c r="H492" s="204" t="s">
        <v>940</v>
      </c>
      <c r="I492" s="211">
        <v>2009</v>
      </c>
      <c r="J492" s="208">
        <v>0</v>
      </c>
      <c r="K492" s="159"/>
      <c r="L492" s="204" t="s">
        <v>455</v>
      </c>
      <c r="N492" s="141">
        <f t="shared" si="16"/>
        <v>236</v>
      </c>
    </row>
    <row r="493" spans="1:14" ht="15">
      <c r="A493" s="159"/>
      <c r="B493" s="143" t="str">
        <f t="shared" si="15"/>
        <v>237.</v>
      </c>
      <c r="C493" s="205" t="s">
        <v>938</v>
      </c>
      <c r="D493" s="162"/>
      <c r="E493" s="163"/>
      <c r="F493" s="159"/>
      <c r="G493" s="164"/>
      <c r="H493" s="204" t="s">
        <v>940</v>
      </c>
      <c r="I493" s="211">
        <v>2009</v>
      </c>
      <c r="J493" s="208">
        <v>0</v>
      </c>
      <c r="K493" s="159"/>
      <c r="L493" s="204" t="s">
        <v>455</v>
      </c>
      <c r="N493" s="141">
        <f t="shared" si="16"/>
        <v>237</v>
      </c>
    </row>
    <row r="494" spans="1:14" ht="15">
      <c r="A494" s="159"/>
      <c r="B494" s="143" t="str">
        <f t="shared" si="15"/>
        <v>238.</v>
      </c>
      <c r="C494" s="205" t="s">
        <v>938</v>
      </c>
      <c r="D494" s="162"/>
      <c r="E494" s="163"/>
      <c r="F494" s="159"/>
      <c r="G494" s="164"/>
      <c r="H494" s="204" t="s">
        <v>940</v>
      </c>
      <c r="I494" s="211">
        <v>2009</v>
      </c>
      <c r="J494" s="208">
        <v>0</v>
      </c>
      <c r="K494" s="159"/>
      <c r="L494" s="204" t="s">
        <v>455</v>
      </c>
      <c r="N494" s="141">
        <f t="shared" si="16"/>
        <v>238</v>
      </c>
    </row>
    <row r="495" spans="1:14" ht="15">
      <c r="A495" s="159"/>
      <c r="B495" s="143" t="str">
        <f t="shared" si="15"/>
        <v>239.</v>
      </c>
      <c r="C495" s="205" t="s">
        <v>938</v>
      </c>
      <c r="D495" s="162"/>
      <c r="E495" s="163"/>
      <c r="F495" s="159"/>
      <c r="G495" s="164"/>
      <c r="H495" s="204" t="s">
        <v>940</v>
      </c>
      <c r="I495" s="211">
        <v>2010</v>
      </c>
      <c r="J495" s="208">
        <v>0</v>
      </c>
      <c r="K495" s="159"/>
      <c r="L495" s="204" t="s">
        <v>455</v>
      </c>
      <c r="N495" s="141">
        <f t="shared" si="16"/>
        <v>239</v>
      </c>
    </row>
    <row r="496" spans="1:14" ht="15">
      <c r="A496" s="159"/>
      <c r="B496" s="143" t="str">
        <f t="shared" si="15"/>
        <v>240.</v>
      </c>
      <c r="C496" s="205" t="s">
        <v>938</v>
      </c>
      <c r="D496" s="162"/>
      <c r="E496" s="163"/>
      <c r="F496" s="159"/>
      <c r="G496" s="164"/>
      <c r="H496" s="204" t="s">
        <v>940</v>
      </c>
      <c r="I496" s="211">
        <v>2009</v>
      </c>
      <c r="J496" s="208">
        <v>0</v>
      </c>
      <c r="K496" s="159"/>
      <c r="L496" s="204" t="s">
        <v>455</v>
      </c>
      <c r="N496" s="141">
        <f t="shared" si="16"/>
        <v>240</v>
      </c>
    </row>
    <row r="497" spans="1:14" ht="15">
      <c r="A497" s="159"/>
      <c r="B497" s="143" t="str">
        <f t="shared" si="15"/>
        <v>241.</v>
      </c>
      <c r="C497" s="205" t="s">
        <v>938</v>
      </c>
      <c r="D497" s="162"/>
      <c r="E497" s="163"/>
      <c r="F497" s="159"/>
      <c r="G497" s="164"/>
      <c r="H497" s="204" t="s">
        <v>940</v>
      </c>
      <c r="I497" s="211">
        <v>2011</v>
      </c>
      <c r="J497" s="208">
        <v>0</v>
      </c>
      <c r="K497" s="159"/>
      <c r="L497" s="204" t="s">
        <v>455</v>
      </c>
      <c r="N497" s="141">
        <f t="shared" si="16"/>
        <v>241</v>
      </c>
    </row>
    <row r="498" spans="1:14" ht="15">
      <c r="A498" s="159"/>
      <c r="B498" s="143" t="str">
        <f t="shared" si="15"/>
        <v>242.</v>
      </c>
      <c r="C498" s="205" t="s">
        <v>938</v>
      </c>
      <c r="D498" s="162"/>
      <c r="E498" s="163"/>
      <c r="F498" s="159"/>
      <c r="G498" s="164"/>
      <c r="H498" s="204" t="s">
        <v>940</v>
      </c>
      <c r="I498" s="211">
        <v>2009</v>
      </c>
      <c r="J498" s="208">
        <f>30000*2</f>
        <v>60000</v>
      </c>
      <c r="K498" s="159"/>
      <c r="L498" s="204" t="s">
        <v>455</v>
      </c>
      <c r="N498" s="141">
        <f t="shared" si="16"/>
        <v>242</v>
      </c>
    </row>
    <row r="499" spans="1:14" ht="15">
      <c r="A499" s="159"/>
      <c r="B499" s="143" t="str">
        <f t="shared" si="15"/>
        <v>243.</v>
      </c>
      <c r="C499" s="205" t="s">
        <v>938</v>
      </c>
      <c r="D499" s="162"/>
      <c r="E499" s="163"/>
      <c r="F499" s="159"/>
      <c r="G499" s="164"/>
      <c r="H499" s="204" t="s">
        <v>940</v>
      </c>
      <c r="I499" s="211">
        <v>2023</v>
      </c>
      <c r="J499" s="208">
        <v>0</v>
      </c>
      <c r="K499" s="159"/>
      <c r="L499" s="204" t="s">
        <v>455</v>
      </c>
      <c r="N499" s="141">
        <f t="shared" si="16"/>
        <v>243</v>
      </c>
    </row>
    <row r="500" spans="1:14" ht="15">
      <c r="A500" s="159"/>
      <c r="B500" s="143" t="str">
        <f t="shared" si="15"/>
        <v>244.</v>
      </c>
      <c r="C500" s="205" t="s">
        <v>938</v>
      </c>
      <c r="D500" s="162"/>
      <c r="E500" s="163"/>
      <c r="F500" s="159"/>
      <c r="G500" s="164"/>
      <c r="H500" s="204" t="s">
        <v>940</v>
      </c>
      <c r="I500" s="211">
        <v>2009</v>
      </c>
      <c r="J500" s="208">
        <v>0</v>
      </c>
      <c r="K500" s="159"/>
      <c r="L500" s="204" t="s">
        <v>455</v>
      </c>
      <c r="N500" s="141">
        <f t="shared" si="16"/>
        <v>244</v>
      </c>
    </row>
    <row r="501" spans="1:14" ht="15">
      <c r="A501" s="159"/>
      <c r="B501" s="143" t="str">
        <f t="shared" si="15"/>
        <v>245.</v>
      </c>
      <c r="C501" s="205" t="s">
        <v>938</v>
      </c>
      <c r="D501" s="162"/>
      <c r="E501" s="163"/>
      <c r="F501" s="159"/>
      <c r="G501" s="164"/>
      <c r="H501" s="204" t="s">
        <v>940</v>
      </c>
      <c r="I501" s="211">
        <v>2009</v>
      </c>
      <c r="J501" s="208">
        <v>0</v>
      </c>
      <c r="K501" s="159"/>
      <c r="L501" s="204" t="s">
        <v>455</v>
      </c>
      <c r="N501" s="141">
        <f t="shared" si="16"/>
        <v>245</v>
      </c>
    </row>
    <row r="502" spans="1:14" ht="15">
      <c r="A502" s="159"/>
      <c r="B502" s="143" t="str">
        <f t="shared" si="15"/>
        <v>246.</v>
      </c>
      <c r="C502" s="205" t="s">
        <v>938</v>
      </c>
      <c r="D502" s="162"/>
      <c r="E502" s="163"/>
      <c r="F502" s="159"/>
      <c r="G502" s="164"/>
      <c r="H502" s="204" t="s">
        <v>940</v>
      </c>
      <c r="I502" s="211">
        <v>2009</v>
      </c>
      <c r="J502" s="208">
        <v>0</v>
      </c>
      <c r="K502" s="159"/>
      <c r="L502" s="204" t="s">
        <v>455</v>
      </c>
      <c r="N502" s="141">
        <f t="shared" si="16"/>
        <v>246</v>
      </c>
    </row>
    <row r="503" spans="1:14" ht="15">
      <c r="A503" s="159"/>
      <c r="B503" s="143" t="str">
        <f t="shared" si="15"/>
        <v>247.</v>
      </c>
      <c r="C503" s="205" t="s">
        <v>938</v>
      </c>
      <c r="D503" s="162"/>
      <c r="E503" s="163"/>
      <c r="F503" s="159"/>
      <c r="G503" s="164"/>
      <c r="H503" s="204" t="s">
        <v>940</v>
      </c>
      <c r="I503" s="211">
        <v>2009</v>
      </c>
      <c r="J503" s="208">
        <f>38000*2</f>
        <v>76000</v>
      </c>
      <c r="K503" s="159"/>
      <c r="L503" s="204" t="s">
        <v>455</v>
      </c>
      <c r="N503" s="141">
        <f t="shared" si="16"/>
        <v>247</v>
      </c>
    </row>
    <row r="504" spans="1:14" ht="15">
      <c r="A504" s="159"/>
      <c r="B504" s="143" t="str">
        <f t="shared" si="15"/>
        <v>248.</v>
      </c>
      <c r="C504" s="205" t="s">
        <v>938</v>
      </c>
      <c r="D504" s="162"/>
      <c r="E504" s="163"/>
      <c r="F504" s="159"/>
      <c r="G504" s="164"/>
      <c r="H504" s="204" t="s">
        <v>940</v>
      </c>
      <c r="I504" s="211">
        <v>2009</v>
      </c>
      <c r="J504" s="208">
        <f>26500*2</f>
        <v>53000</v>
      </c>
      <c r="K504" s="159"/>
      <c r="L504" s="204" t="s">
        <v>455</v>
      </c>
      <c r="N504" s="141">
        <f t="shared" si="16"/>
        <v>248</v>
      </c>
    </row>
    <row r="505" spans="1:14" ht="15">
      <c r="A505" s="159"/>
      <c r="B505" s="143" t="str">
        <f t="shared" si="15"/>
        <v>249.</v>
      </c>
      <c r="C505" s="205" t="s">
        <v>938</v>
      </c>
      <c r="D505" s="162"/>
      <c r="E505" s="163"/>
      <c r="F505" s="159"/>
      <c r="G505" s="164"/>
      <c r="H505" s="204" t="s">
        <v>940</v>
      </c>
      <c r="I505" s="211">
        <v>2009</v>
      </c>
      <c r="J505" s="208">
        <v>0</v>
      </c>
      <c r="K505" s="159"/>
      <c r="L505" s="204" t="s">
        <v>455</v>
      </c>
      <c r="N505" s="141">
        <f t="shared" si="16"/>
        <v>249</v>
      </c>
    </row>
    <row r="506" spans="1:14" ht="15">
      <c r="A506" s="159"/>
      <c r="B506" s="143" t="str">
        <f t="shared" si="15"/>
        <v>250.</v>
      </c>
      <c r="C506" s="205" t="s">
        <v>938</v>
      </c>
      <c r="D506" s="162"/>
      <c r="E506" s="163"/>
      <c r="F506" s="159"/>
      <c r="G506" s="164"/>
      <c r="H506" s="204" t="s">
        <v>940</v>
      </c>
      <c r="I506" s="211">
        <v>2009</v>
      </c>
      <c r="J506" s="208">
        <v>0</v>
      </c>
      <c r="K506" s="159"/>
      <c r="L506" s="204" t="s">
        <v>455</v>
      </c>
      <c r="N506" s="141">
        <f t="shared" si="16"/>
        <v>250</v>
      </c>
    </row>
    <row r="507" spans="1:14" ht="15">
      <c r="A507" s="159"/>
      <c r="B507" s="143" t="str">
        <f t="shared" si="15"/>
        <v>251.</v>
      </c>
      <c r="C507" s="205" t="s">
        <v>938</v>
      </c>
      <c r="D507" s="162"/>
      <c r="E507" s="163"/>
      <c r="F507" s="159"/>
      <c r="G507" s="164"/>
      <c r="H507" s="204" t="s">
        <v>940</v>
      </c>
      <c r="I507" s="211">
        <v>2008</v>
      </c>
      <c r="J507" s="208">
        <v>0</v>
      </c>
      <c r="K507" s="159"/>
      <c r="L507" s="204" t="s">
        <v>455</v>
      </c>
      <c r="N507" s="141">
        <f t="shared" si="16"/>
        <v>251</v>
      </c>
    </row>
    <row r="508" spans="1:14" ht="15">
      <c r="A508" s="159"/>
      <c r="B508" s="143" t="str">
        <f t="shared" si="15"/>
        <v>252.</v>
      </c>
      <c r="C508" s="205" t="s">
        <v>938</v>
      </c>
      <c r="D508" s="162"/>
      <c r="E508" s="163"/>
      <c r="F508" s="159"/>
      <c r="G508" s="164"/>
      <c r="H508" s="204" t="s">
        <v>940</v>
      </c>
      <c r="I508" s="211">
        <v>2009</v>
      </c>
      <c r="J508" s="208">
        <v>15000</v>
      </c>
      <c r="K508" s="159"/>
      <c r="L508" s="204" t="s">
        <v>455</v>
      </c>
      <c r="N508" s="141">
        <f t="shared" si="16"/>
        <v>252</v>
      </c>
    </row>
    <row r="509" spans="1:14" ht="15">
      <c r="A509" s="159"/>
      <c r="B509" s="143" t="str">
        <f t="shared" si="15"/>
        <v>253.</v>
      </c>
      <c r="C509" s="205" t="s">
        <v>938</v>
      </c>
      <c r="D509" s="162"/>
      <c r="E509" s="163"/>
      <c r="F509" s="159"/>
      <c r="G509" s="164"/>
      <c r="H509" s="204" t="s">
        <v>940</v>
      </c>
      <c r="I509" s="211">
        <v>2009</v>
      </c>
      <c r="J509" s="208">
        <v>0</v>
      </c>
      <c r="K509" s="159"/>
      <c r="L509" s="204" t="s">
        <v>455</v>
      </c>
      <c r="N509" s="141">
        <f t="shared" si="16"/>
        <v>253</v>
      </c>
    </row>
    <row r="510" spans="1:14" ht="15">
      <c r="A510" s="159"/>
      <c r="B510" s="143" t="str">
        <f t="shared" si="15"/>
        <v>254.</v>
      </c>
      <c r="C510" s="205" t="s">
        <v>938</v>
      </c>
      <c r="D510" s="162"/>
      <c r="E510" s="163"/>
      <c r="F510" s="159"/>
      <c r="G510" s="164"/>
      <c r="H510" s="204" t="s">
        <v>940</v>
      </c>
      <c r="I510" s="211">
        <v>2010</v>
      </c>
      <c r="J510" s="208">
        <f>13000*2</f>
        <v>26000</v>
      </c>
      <c r="K510" s="159"/>
      <c r="L510" s="204" t="s">
        <v>455</v>
      </c>
      <c r="N510" s="141">
        <f t="shared" si="16"/>
        <v>254</v>
      </c>
    </row>
    <row r="511" spans="1:14" ht="15">
      <c r="A511" s="159"/>
      <c r="B511" s="143" t="str">
        <f t="shared" si="15"/>
        <v>255.</v>
      </c>
      <c r="C511" s="205" t="s">
        <v>938</v>
      </c>
      <c r="D511" s="162"/>
      <c r="E511" s="163"/>
      <c r="F511" s="159"/>
      <c r="G511" s="164"/>
      <c r="H511" s="204" t="s">
        <v>940</v>
      </c>
      <c r="I511" s="211">
        <v>2009</v>
      </c>
      <c r="J511" s="208">
        <v>0</v>
      </c>
      <c r="K511" s="159"/>
      <c r="L511" s="204" t="s">
        <v>455</v>
      </c>
      <c r="N511" s="141">
        <f t="shared" si="16"/>
        <v>255</v>
      </c>
    </row>
    <row r="512" spans="1:14" ht="15">
      <c r="A512" s="159"/>
      <c r="B512" s="143" t="str">
        <f t="shared" si="15"/>
        <v>256.</v>
      </c>
      <c r="C512" s="205" t="s">
        <v>938</v>
      </c>
      <c r="D512" s="162"/>
      <c r="E512" s="163"/>
      <c r="F512" s="159"/>
      <c r="G512" s="164"/>
      <c r="H512" s="204" t="s">
        <v>940</v>
      </c>
      <c r="I512" s="211">
        <v>2010</v>
      </c>
      <c r="J512" s="208">
        <v>15000</v>
      </c>
      <c r="K512" s="159"/>
      <c r="L512" s="204" t="s">
        <v>455</v>
      </c>
      <c r="N512" s="141">
        <f t="shared" si="16"/>
        <v>256</v>
      </c>
    </row>
    <row r="513" spans="1:14" ht="15">
      <c r="A513" s="159"/>
      <c r="B513" s="143" t="str">
        <f t="shared" ref="B513:B576" si="17">N513&amp;"."</f>
        <v>257.</v>
      </c>
      <c r="C513" s="205" t="s">
        <v>938</v>
      </c>
      <c r="D513" s="162"/>
      <c r="E513" s="163"/>
      <c r="F513" s="159"/>
      <c r="G513" s="164"/>
      <c r="H513" s="204" t="s">
        <v>940</v>
      </c>
      <c r="I513" s="211">
        <v>2009</v>
      </c>
      <c r="J513" s="208">
        <v>11000</v>
      </c>
      <c r="K513" s="159"/>
      <c r="L513" s="204" t="s">
        <v>455</v>
      </c>
      <c r="N513" s="141">
        <f t="shared" si="16"/>
        <v>257</v>
      </c>
    </row>
    <row r="514" spans="1:14" ht="15">
      <c r="A514" s="159"/>
      <c r="B514" s="143" t="str">
        <f t="shared" si="17"/>
        <v>258.</v>
      </c>
      <c r="C514" s="205" t="s">
        <v>938</v>
      </c>
      <c r="D514" s="162"/>
      <c r="E514" s="163"/>
      <c r="F514" s="159"/>
      <c r="G514" s="164"/>
      <c r="H514" s="204" t="s">
        <v>940</v>
      </c>
      <c r="I514" s="211">
        <v>2010</v>
      </c>
      <c r="J514" s="208">
        <v>0</v>
      </c>
      <c r="K514" s="159"/>
      <c r="L514" s="204" t="s">
        <v>455</v>
      </c>
      <c r="N514" s="141">
        <f t="shared" si="16"/>
        <v>258</v>
      </c>
    </row>
    <row r="515" spans="1:14" ht="15">
      <c r="A515" s="159"/>
      <c r="B515" s="143" t="str">
        <f t="shared" si="17"/>
        <v>259.</v>
      </c>
      <c r="C515" s="205" t="s">
        <v>938</v>
      </c>
      <c r="D515" s="162"/>
      <c r="E515" s="163"/>
      <c r="F515" s="159"/>
      <c r="G515" s="164"/>
      <c r="H515" s="204" t="s">
        <v>940</v>
      </c>
      <c r="I515" s="211">
        <v>2011</v>
      </c>
      <c r="J515" s="208">
        <v>0</v>
      </c>
      <c r="K515" s="159"/>
      <c r="L515" s="204" t="s">
        <v>455</v>
      </c>
      <c r="N515" s="141">
        <f t="shared" ref="N515:N578" si="18">N514+1</f>
        <v>259</v>
      </c>
    </row>
    <row r="516" spans="1:14" ht="15">
      <c r="A516" s="159"/>
      <c r="B516" s="143" t="str">
        <f t="shared" si="17"/>
        <v>260.</v>
      </c>
      <c r="C516" s="205" t="s">
        <v>938</v>
      </c>
      <c r="D516" s="162"/>
      <c r="E516" s="163"/>
      <c r="F516" s="159"/>
      <c r="G516" s="164"/>
      <c r="H516" s="204" t="s">
        <v>940</v>
      </c>
      <c r="I516" s="211">
        <v>2009</v>
      </c>
      <c r="J516" s="208">
        <v>0</v>
      </c>
      <c r="K516" s="159"/>
      <c r="L516" s="204" t="s">
        <v>455</v>
      </c>
      <c r="N516" s="141">
        <f t="shared" si="18"/>
        <v>260</v>
      </c>
    </row>
    <row r="517" spans="1:14" ht="15">
      <c r="A517" s="159"/>
      <c r="B517" s="143" t="str">
        <f t="shared" si="17"/>
        <v>261.</v>
      </c>
      <c r="C517" s="205" t="s">
        <v>938</v>
      </c>
      <c r="D517" s="162"/>
      <c r="E517" s="163"/>
      <c r="F517" s="159"/>
      <c r="G517" s="164"/>
      <c r="H517" s="204" t="s">
        <v>940</v>
      </c>
      <c r="I517" s="211">
        <v>2010</v>
      </c>
      <c r="J517" s="208">
        <v>0</v>
      </c>
      <c r="K517" s="159"/>
      <c r="L517" s="204" t="s">
        <v>455</v>
      </c>
      <c r="N517" s="141">
        <f t="shared" si="18"/>
        <v>261</v>
      </c>
    </row>
    <row r="518" spans="1:14" ht="15">
      <c r="A518" s="159"/>
      <c r="B518" s="143" t="str">
        <f t="shared" si="17"/>
        <v>262.</v>
      </c>
      <c r="C518" s="205" t="s">
        <v>938</v>
      </c>
      <c r="D518" s="162"/>
      <c r="E518" s="163"/>
      <c r="F518" s="159"/>
      <c r="G518" s="164"/>
      <c r="H518" s="204" t="s">
        <v>940</v>
      </c>
      <c r="I518" s="211">
        <v>2010</v>
      </c>
      <c r="J518" s="208">
        <v>30000</v>
      </c>
      <c r="K518" s="159"/>
      <c r="L518" s="204" t="s">
        <v>455</v>
      </c>
      <c r="N518" s="141">
        <f t="shared" si="18"/>
        <v>262</v>
      </c>
    </row>
    <row r="519" spans="1:14" ht="15">
      <c r="A519" s="159"/>
      <c r="B519" s="143" t="str">
        <f t="shared" si="17"/>
        <v>263.</v>
      </c>
      <c r="C519" s="205" t="s">
        <v>938</v>
      </c>
      <c r="D519" s="162"/>
      <c r="E519" s="163"/>
      <c r="F519" s="159"/>
      <c r="G519" s="164"/>
      <c r="H519" s="204" t="s">
        <v>940</v>
      </c>
      <c r="I519" s="211">
        <v>2009</v>
      </c>
      <c r="J519" s="208">
        <v>20000</v>
      </c>
      <c r="K519" s="159"/>
      <c r="L519" s="204" t="s">
        <v>455</v>
      </c>
      <c r="N519" s="141">
        <f t="shared" si="18"/>
        <v>263</v>
      </c>
    </row>
    <row r="520" spans="1:14" ht="15">
      <c r="A520" s="159"/>
      <c r="B520" s="143" t="str">
        <f t="shared" si="17"/>
        <v>264.</v>
      </c>
      <c r="C520" s="205" t="s">
        <v>938</v>
      </c>
      <c r="D520" s="162"/>
      <c r="E520" s="163"/>
      <c r="F520" s="159"/>
      <c r="G520" s="164"/>
      <c r="H520" s="204" t="s">
        <v>940</v>
      </c>
      <c r="I520" s="211">
        <v>2009</v>
      </c>
      <c r="J520" s="208">
        <v>14000</v>
      </c>
      <c r="K520" s="159"/>
      <c r="L520" s="204" t="s">
        <v>455</v>
      </c>
      <c r="N520" s="141">
        <f t="shared" si="18"/>
        <v>264</v>
      </c>
    </row>
    <row r="521" spans="1:14" ht="15">
      <c r="A521" s="159"/>
      <c r="B521" s="143" t="str">
        <f t="shared" si="17"/>
        <v>265.</v>
      </c>
      <c r="C521" s="205" t="s">
        <v>938</v>
      </c>
      <c r="D521" s="162"/>
      <c r="E521" s="163"/>
      <c r="F521" s="159"/>
      <c r="G521" s="164"/>
      <c r="H521" s="204" t="s">
        <v>940</v>
      </c>
      <c r="I521" s="211">
        <v>2011</v>
      </c>
      <c r="J521" s="208">
        <f>20000*2</f>
        <v>40000</v>
      </c>
      <c r="K521" s="159"/>
      <c r="L521" s="204" t="s">
        <v>455</v>
      </c>
      <c r="N521" s="141">
        <f t="shared" si="18"/>
        <v>265</v>
      </c>
    </row>
    <row r="522" spans="1:14" ht="15">
      <c r="A522" s="159"/>
      <c r="B522" s="143" t="str">
        <f t="shared" si="17"/>
        <v>266.</v>
      </c>
      <c r="C522" s="205" t="s">
        <v>938</v>
      </c>
      <c r="D522" s="162"/>
      <c r="E522" s="163"/>
      <c r="F522" s="159"/>
      <c r="G522" s="164"/>
      <c r="H522" s="204" t="s">
        <v>940</v>
      </c>
      <c r="I522" s="211">
        <v>2009</v>
      </c>
      <c r="J522" s="208">
        <v>0</v>
      </c>
      <c r="K522" s="159"/>
      <c r="L522" s="204" t="s">
        <v>455</v>
      </c>
      <c r="N522" s="141">
        <f t="shared" si="18"/>
        <v>266</v>
      </c>
    </row>
    <row r="523" spans="1:14" ht="15">
      <c r="A523" s="159"/>
      <c r="B523" s="143" t="str">
        <f t="shared" si="17"/>
        <v>267.</v>
      </c>
      <c r="C523" s="205" t="s">
        <v>938</v>
      </c>
      <c r="D523" s="162"/>
      <c r="E523" s="163"/>
      <c r="F523" s="159"/>
      <c r="G523" s="164"/>
      <c r="H523" s="204" t="s">
        <v>940</v>
      </c>
      <c r="I523" s="211">
        <v>2009</v>
      </c>
      <c r="J523" s="208">
        <f>15000*2</f>
        <v>30000</v>
      </c>
      <c r="K523" s="159"/>
      <c r="L523" s="204" t="s">
        <v>455</v>
      </c>
      <c r="N523" s="141">
        <f t="shared" si="18"/>
        <v>267</v>
      </c>
    </row>
    <row r="524" spans="1:14" ht="15">
      <c r="A524" s="159"/>
      <c r="B524" s="143" t="str">
        <f t="shared" si="17"/>
        <v>268.</v>
      </c>
      <c r="C524" s="205" t="s">
        <v>938</v>
      </c>
      <c r="D524" s="162"/>
      <c r="E524" s="163"/>
      <c r="F524" s="159"/>
      <c r="G524" s="164"/>
      <c r="H524" s="204" t="s">
        <v>940</v>
      </c>
      <c r="I524" s="211">
        <v>2009</v>
      </c>
      <c r="J524" s="208">
        <v>0</v>
      </c>
      <c r="K524" s="159"/>
      <c r="L524" s="204" t="s">
        <v>455</v>
      </c>
      <c r="N524" s="141">
        <f t="shared" si="18"/>
        <v>268</v>
      </c>
    </row>
    <row r="525" spans="1:14" ht="15">
      <c r="A525" s="159"/>
      <c r="B525" s="143" t="str">
        <f t="shared" si="17"/>
        <v>269.</v>
      </c>
      <c r="C525" s="205" t="s">
        <v>938</v>
      </c>
      <c r="D525" s="162"/>
      <c r="E525" s="163"/>
      <c r="F525" s="159"/>
      <c r="G525" s="164"/>
      <c r="H525" s="204" t="s">
        <v>940</v>
      </c>
      <c r="I525" s="211">
        <v>2009</v>
      </c>
      <c r="J525" s="208">
        <v>0</v>
      </c>
      <c r="K525" s="159"/>
      <c r="L525" s="204" t="s">
        <v>455</v>
      </c>
      <c r="N525" s="141">
        <f t="shared" si="18"/>
        <v>269</v>
      </c>
    </row>
    <row r="526" spans="1:14" ht="15">
      <c r="A526" s="159"/>
      <c r="B526" s="143" t="str">
        <f t="shared" si="17"/>
        <v>270.</v>
      </c>
      <c r="C526" s="205" t="s">
        <v>938</v>
      </c>
      <c r="D526" s="162"/>
      <c r="E526" s="163"/>
      <c r="F526" s="159"/>
      <c r="G526" s="164"/>
      <c r="H526" s="204" t="s">
        <v>940</v>
      </c>
      <c r="I526" s="211">
        <v>2009</v>
      </c>
      <c r="J526" s="208">
        <v>0</v>
      </c>
      <c r="K526" s="159"/>
      <c r="L526" s="204" t="s">
        <v>455</v>
      </c>
      <c r="N526" s="141">
        <f t="shared" si="18"/>
        <v>270</v>
      </c>
    </row>
    <row r="527" spans="1:14" ht="15">
      <c r="A527" s="159"/>
      <c r="B527" s="143" t="str">
        <f t="shared" si="17"/>
        <v>271.</v>
      </c>
      <c r="C527" s="205" t="s">
        <v>938</v>
      </c>
      <c r="D527" s="162"/>
      <c r="E527" s="163"/>
      <c r="F527" s="159"/>
      <c r="G527" s="164"/>
      <c r="H527" s="204" t="s">
        <v>940</v>
      </c>
      <c r="I527" s="211">
        <v>2009</v>
      </c>
      <c r="J527" s="208">
        <v>0</v>
      </c>
      <c r="K527" s="159"/>
      <c r="L527" s="204" t="s">
        <v>455</v>
      </c>
      <c r="N527" s="141">
        <f t="shared" si="18"/>
        <v>271</v>
      </c>
    </row>
    <row r="528" spans="1:14" ht="15">
      <c r="A528" s="159"/>
      <c r="B528" s="143" t="str">
        <f t="shared" si="17"/>
        <v>272.</v>
      </c>
      <c r="C528" s="205" t="s">
        <v>938</v>
      </c>
      <c r="D528" s="162"/>
      <c r="E528" s="163"/>
      <c r="F528" s="159"/>
      <c r="G528" s="164"/>
      <c r="H528" s="204" t="s">
        <v>940</v>
      </c>
      <c r="I528" s="211">
        <v>2010</v>
      </c>
      <c r="J528" s="208">
        <v>0</v>
      </c>
      <c r="K528" s="159"/>
      <c r="L528" s="204" t="s">
        <v>455</v>
      </c>
      <c r="N528" s="141">
        <f t="shared" si="18"/>
        <v>272</v>
      </c>
    </row>
    <row r="529" spans="1:14" ht="15">
      <c r="A529" s="159"/>
      <c r="B529" s="143" t="str">
        <f t="shared" si="17"/>
        <v>273.</v>
      </c>
      <c r="C529" s="205" t="s">
        <v>938</v>
      </c>
      <c r="D529" s="162"/>
      <c r="E529" s="163"/>
      <c r="F529" s="159"/>
      <c r="G529" s="164"/>
      <c r="H529" s="204" t="s">
        <v>940</v>
      </c>
      <c r="I529" s="211">
        <v>2009</v>
      </c>
      <c r="J529" s="208">
        <f>21800*2</f>
        <v>43600</v>
      </c>
      <c r="K529" s="159"/>
      <c r="L529" s="204" t="s">
        <v>455</v>
      </c>
      <c r="N529" s="141">
        <f t="shared" si="18"/>
        <v>273</v>
      </c>
    </row>
    <row r="530" spans="1:14" ht="15">
      <c r="A530" s="159"/>
      <c r="B530" s="143" t="str">
        <f t="shared" si="17"/>
        <v>274.</v>
      </c>
      <c r="C530" s="205" t="s">
        <v>938</v>
      </c>
      <c r="D530" s="162"/>
      <c r="E530" s="163"/>
      <c r="F530" s="159"/>
      <c r="G530" s="164"/>
      <c r="H530" s="204" t="s">
        <v>940</v>
      </c>
      <c r="I530" s="211">
        <v>2009</v>
      </c>
      <c r="J530" s="208">
        <v>0</v>
      </c>
      <c r="K530" s="159"/>
      <c r="L530" s="204" t="s">
        <v>455</v>
      </c>
      <c r="N530" s="141">
        <f t="shared" si="18"/>
        <v>274</v>
      </c>
    </row>
    <row r="531" spans="1:14" ht="15">
      <c r="A531" s="159"/>
      <c r="B531" s="143" t="str">
        <f t="shared" si="17"/>
        <v>275.</v>
      </c>
      <c r="C531" s="205" t="s">
        <v>938</v>
      </c>
      <c r="D531" s="162"/>
      <c r="E531" s="163"/>
      <c r="F531" s="159"/>
      <c r="G531" s="164"/>
      <c r="H531" s="204" t="s">
        <v>940</v>
      </c>
      <c r="I531" s="211">
        <v>2011</v>
      </c>
      <c r="J531" s="208">
        <f>25000*2</f>
        <v>50000</v>
      </c>
      <c r="K531" s="159"/>
      <c r="L531" s="204" t="s">
        <v>455</v>
      </c>
      <c r="N531" s="141">
        <f t="shared" si="18"/>
        <v>275</v>
      </c>
    </row>
    <row r="532" spans="1:14" ht="15">
      <c r="A532" s="159"/>
      <c r="B532" s="143" t="str">
        <f t="shared" si="17"/>
        <v>276.</v>
      </c>
      <c r="C532" s="205" t="s">
        <v>938</v>
      </c>
      <c r="D532" s="162"/>
      <c r="E532" s="163"/>
      <c r="F532" s="159"/>
      <c r="G532" s="164"/>
      <c r="H532" s="204" t="s">
        <v>940</v>
      </c>
      <c r="I532" s="211">
        <v>2010</v>
      </c>
      <c r="J532" s="208">
        <f>26000*2</f>
        <v>52000</v>
      </c>
      <c r="K532" s="159"/>
      <c r="L532" s="204" t="s">
        <v>455</v>
      </c>
      <c r="N532" s="141">
        <f t="shared" si="18"/>
        <v>276</v>
      </c>
    </row>
    <row r="533" spans="1:14" ht="15">
      <c r="A533" s="159"/>
      <c r="B533" s="143" t="str">
        <f t="shared" si="17"/>
        <v>277.</v>
      </c>
      <c r="C533" s="205" t="s">
        <v>938</v>
      </c>
      <c r="D533" s="162"/>
      <c r="E533" s="163"/>
      <c r="F533" s="159"/>
      <c r="G533" s="164"/>
      <c r="H533" s="204" t="s">
        <v>940</v>
      </c>
      <c r="I533" s="211">
        <v>2009</v>
      </c>
      <c r="J533" s="208">
        <v>18000</v>
      </c>
      <c r="K533" s="159"/>
      <c r="L533" s="204" t="s">
        <v>455</v>
      </c>
      <c r="N533" s="141">
        <f t="shared" si="18"/>
        <v>277</v>
      </c>
    </row>
    <row r="534" spans="1:14" ht="15">
      <c r="A534" s="159"/>
      <c r="B534" s="143" t="str">
        <f t="shared" si="17"/>
        <v>278.</v>
      </c>
      <c r="C534" s="205" t="s">
        <v>938</v>
      </c>
      <c r="D534" s="162"/>
      <c r="E534" s="163"/>
      <c r="F534" s="159"/>
      <c r="G534" s="164"/>
      <c r="H534" s="204" t="s">
        <v>940</v>
      </c>
      <c r="I534" s="211">
        <v>2009</v>
      </c>
      <c r="J534" s="208">
        <v>0</v>
      </c>
      <c r="K534" s="159"/>
      <c r="L534" s="204" t="s">
        <v>455</v>
      </c>
      <c r="N534" s="141">
        <f t="shared" si="18"/>
        <v>278</v>
      </c>
    </row>
    <row r="535" spans="1:14" ht="15">
      <c r="A535" s="159"/>
      <c r="B535" s="143" t="str">
        <f t="shared" si="17"/>
        <v>279.</v>
      </c>
      <c r="C535" s="205" t="s">
        <v>938</v>
      </c>
      <c r="D535" s="162"/>
      <c r="E535" s="163"/>
      <c r="F535" s="159"/>
      <c r="G535" s="164"/>
      <c r="H535" s="204" t="s">
        <v>940</v>
      </c>
      <c r="I535" s="211">
        <v>2009</v>
      </c>
      <c r="J535" s="208">
        <f>19000*2</f>
        <v>38000</v>
      </c>
      <c r="K535" s="159"/>
      <c r="L535" s="204" t="s">
        <v>455</v>
      </c>
      <c r="N535" s="141">
        <f t="shared" si="18"/>
        <v>279</v>
      </c>
    </row>
    <row r="536" spans="1:14" ht="15">
      <c r="A536" s="159"/>
      <c r="B536" s="143" t="str">
        <f t="shared" si="17"/>
        <v>280.</v>
      </c>
      <c r="C536" s="205" t="s">
        <v>938</v>
      </c>
      <c r="D536" s="162"/>
      <c r="E536" s="163"/>
      <c r="F536" s="159"/>
      <c r="G536" s="164"/>
      <c r="H536" s="204" t="s">
        <v>940</v>
      </c>
      <c r="I536" s="211">
        <v>2011</v>
      </c>
      <c r="J536" s="208">
        <v>0</v>
      </c>
      <c r="K536" s="159"/>
      <c r="L536" s="204" t="s">
        <v>455</v>
      </c>
      <c r="N536" s="141">
        <f t="shared" si="18"/>
        <v>280</v>
      </c>
    </row>
    <row r="537" spans="1:14" ht="15">
      <c r="A537" s="159"/>
      <c r="B537" s="143" t="str">
        <f t="shared" si="17"/>
        <v>281.</v>
      </c>
      <c r="C537" s="205" t="s">
        <v>938</v>
      </c>
      <c r="D537" s="162"/>
      <c r="E537" s="163"/>
      <c r="F537" s="159"/>
      <c r="G537" s="164"/>
      <c r="H537" s="204" t="s">
        <v>940</v>
      </c>
      <c r="I537" s="211">
        <v>2009</v>
      </c>
      <c r="J537" s="208">
        <v>0</v>
      </c>
      <c r="K537" s="159"/>
      <c r="L537" s="204" t="s">
        <v>455</v>
      </c>
      <c r="N537" s="141">
        <f t="shared" si="18"/>
        <v>281</v>
      </c>
    </row>
    <row r="538" spans="1:14" ht="15">
      <c r="A538" s="159"/>
      <c r="B538" s="143" t="str">
        <f t="shared" si="17"/>
        <v>282.</v>
      </c>
      <c r="C538" s="205" t="s">
        <v>938</v>
      </c>
      <c r="D538" s="162"/>
      <c r="E538" s="163"/>
      <c r="F538" s="159"/>
      <c r="G538" s="164"/>
      <c r="H538" s="204" t="s">
        <v>940</v>
      </c>
      <c r="I538" s="211">
        <v>2010</v>
      </c>
      <c r="J538" s="208">
        <v>0</v>
      </c>
      <c r="K538" s="159"/>
      <c r="L538" s="204" t="s">
        <v>455</v>
      </c>
      <c r="N538" s="141">
        <f t="shared" si="18"/>
        <v>282</v>
      </c>
    </row>
    <row r="539" spans="1:14" ht="15">
      <c r="A539" s="159"/>
      <c r="B539" s="143" t="str">
        <f t="shared" si="17"/>
        <v>283.</v>
      </c>
      <c r="C539" s="205" t="s">
        <v>938</v>
      </c>
      <c r="D539" s="162"/>
      <c r="E539" s="163"/>
      <c r="F539" s="159"/>
      <c r="G539" s="164"/>
      <c r="H539" s="204" t="s">
        <v>940</v>
      </c>
      <c r="I539" s="211">
        <v>2010</v>
      </c>
      <c r="J539" s="208">
        <v>0</v>
      </c>
      <c r="K539" s="159"/>
      <c r="L539" s="204" t="s">
        <v>455</v>
      </c>
      <c r="N539" s="141">
        <f t="shared" si="18"/>
        <v>283</v>
      </c>
    </row>
    <row r="540" spans="1:14" ht="15">
      <c r="A540" s="159"/>
      <c r="B540" s="143" t="str">
        <f t="shared" si="17"/>
        <v>284.</v>
      </c>
      <c r="C540" s="205" t="s">
        <v>938</v>
      </c>
      <c r="D540" s="162"/>
      <c r="E540" s="163"/>
      <c r="F540" s="159"/>
      <c r="G540" s="164"/>
      <c r="H540" s="204" t="s">
        <v>940</v>
      </c>
      <c r="I540" s="211">
        <v>2011</v>
      </c>
      <c r="J540" s="208">
        <f>15000*2</f>
        <v>30000</v>
      </c>
      <c r="K540" s="159"/>
      <c r="L540" s="204" t="s">
        <v>455</v>
      </c>
      <c r="N540" s="141">
        <f t="shared" si="18"/>
        <v>284</v>
      </c>
    </row>
    <row r="541" spans="1:14" ht="15">
      <c r="A541" s="159"/>
      <c r="B541" s="143" t="str">
        <f t="shared" si="17"/>
        <v>285.</v>
      </c>
      <c r="C541" s="205" t="s">
        <v>938</v>
      </c>
      <c r="D541" s="162"/>
      <c r="E541" s="163"/>
      <c r="F541" s="159"/>
      <c r="G541" s="164"/>
      <c r="H541" s="204" t="s">
        <v>940</v>
      </c>
      <c r="I541" s="211">
        <v>2009</v>
      </c>
      <c r="J541" s="208">
        <v>0</v>
      </c>
      <c r="K541" s="159"/>
      <c r="L541" s="204" t="s">
        <v>455</v>
      </c>
      <c r="N541" s="141">
        <f t="shared" si="18"/>
        <v>285</v>
      </c>
    </row>
    <row r="542" spans="1:14" ht="15">
      <c r="A542" s="159"/>
      <c r="B542" s="143" t="str">
        <f t="shared" si="17"/>
        <v>286.</v>
      </c>
      <c r="C542" s="205" t="s">
        <v>938</v>
      </c>
      <c r="D542" s="162"/>
      <c r="E542" s="163"/>
      <c r="F542" s="159"/>
      <c r="G542" s="164"/>
      <c r="H542" s="204" t="s">
        <v>940</v>
      </c>
      <c r="I542" s="211">
        <v>2010</v>
      </c>
      <c r="J542" s="208">
        <v>0</v>
      </c>
      <c r="K542" s="159"/>
      <c r="L542" s="204" t="s">
        <v>455</v>
      </c>
      <c r="N542" s="141">
        <f t="shared" si="18"/>
        <v>286</v>
      </c>
    </row>
    <row r="543" spans="1:14" ht="15">
      <c r="A543" s="159"/>
      <c r="B543" s="143" t="str">
        <f t="shared" si="17"/>
        <v>287.</v>
      </c>
      <c r="C543" s="205" t="s">
        <v>938</v>
      </c>
      <c r="D543" s="162"/>
      <c r="E543" s="163"/>
      <c r="F543" s="159"/>
      <c r="G543" s="164"/>
      <c r="H543" s="204" t="s">
        <v>940</v>
      </c>
      <c r="I543" s="211">
        <v>2011</v>
      </c>
      <c r="J543" s="208">
        <v>0</v>
      </c>
      <c r="K543" s="159"/>
      <c r="L543" s="204" t="s">
        <v>455</v>
      </c>
      <c r="N543" s="141">
        <f t="shared" si="18"/>
        <v>287</v>
      </c>
    </row>
    <row r="544" spans="1:14" ht="15">
      <c r="A544" s="159"/>
      <c r="B544" s="143" t="str">
        <f t="shared" si="17"/>
        <v>288.</v>
      </c>
      <c r="C544" s="205" t="s">
        <v>938</v>
      </c>
      <c r="D544" s="162"/>
      <c r="E544" s="163"/>
      <c r="F544" s="159"/>
      <c r="G544" s="164"/>
      <c r="H544" s="204" t="s">
        <v>940</v>
      </c>
      <c r="I544" s="211">
        <v>2009</v>
      </c>
      <c r="J544" s="208">
        <v>0</v>
      </c>
      <c r="K544" s="159"/>
      <c r="L544" s="204" t="s">
        <v>455</v>
      </c>
      <c r="N544" s="141">
        <f t="shared" si="18"/>
        <v>288</v>
      </c>
    </row>
    <row r="545" spans="1:14" ht="15">
      <c r="A545" s="159"/>
      <c r="B545" s="143" t="str">
        <f t="shared" si="17"/>
        <v>289.</v>
      </c>
      <c r="C545" s="205" t="s">
        <v>938</v>
      </c>
      <c r="D545" s="162"/>
      <c r="E545" s="163"/>
      <c r="F545" s="159"/>
      <c r="G545" s="164"/>
      <c r="H545" s="204" t="s">
        <v>940</v>
      </c>
      <c r="I545" s="211">
        <v>2009</v>
      </c>
      <c r="J545" s="208">
        <f>18000*2</f>
        <v>36000</v>
      </c>
      <c r="K545" s="159"/>
      <c r="L545" s="204" t="s">
        <v>455</v>
      </c>
      <c r="N545" s="141">
        <f t="shared" si="18"/>
        <v>289</v>
      </c>
    </row>
    <row r="546" spans="1:14" ht="15">
      <c r="A546" s="159"/>
      <c r="B546" s="143" t="str">
        <f t="shared" si="17"/>
        <v>290.</v>
      </c>
      <c r="C546" s="205" t="s">
        <v>938</v>
      </c>
      <c r="D546" s="162"/>
      <c r="E546" s="163"/>
      <c r="F546" s="159"/>
      <c r="G546" s="164"/>
      <c r="H546" s="204" t="s">
        <v>940</v>
      </c>
      <c r="I546" s="211">
        <v>2010</v>
      </c>
      <c r="J546" s="208">
        <v>0</v>
      </c>
      <c r="K546" s="159"/>
      <c r="L546" s="204" t="s">
        <v>455</v>
      </c>
      <c r="N546" s="141">
        <f t="shared" si="18"/>
        <v>290</v>
      </c>
    </row>
    <row r="547" spans="1:14" ht="15">
      <c r="A547" s="159"/>
      <c r="B547" s="143" t="str">
        <f t="shared" si="17"/>
        <v>291.</v>
      </c>
      <c r="C547" s="205" t="s">
        <v>938</v>
      </c>
      <c r="D547" s="162"/>
      <c r="E547" s="163"/>
      <c r="F547" s="159"/>
      <c r="G547" s="164"/>
      <c r="H547" s="204" t="s">
        <v>940</v>
      </c>
      <c r="I547" s="211">
        <v>2010</v>
      </c>
      <c r="J547" s="208">
        <v>0</v>
      </c>
      <c r="K547" s="159"/>
      <c r="L547" s="204" t="s">
        <v>455</v>
      </c>
      <c r="N547" s="141">
        <f t="shared" si="18"/>
        <v>291</v>
      </c>
    </row>
    <row r="548" spans="1:14" ht="15">
      <c r="A548" s="159"/>
      <c r="B548" s="143" t="str">
        <f t="shared" si="17"/>
        <v>292.</v>
      </c>
      <c r="C548" s="205" t="s">
        <v>938</v>
      </c>
      <c r="D548" s="162"/>
      <c r="E548" s="163"/>
      <c r="F548" s="159"/>
      <c r="G548" s="164"/>
      <c r="H548" s="204" t="s">
        <v>940</v>
      </c>
      <c r="I548" s="211">
        <v>2010</v>
      </c>
      <c r="J548" s="208">
        <v>0</v>
      </c>
      <c r="K548" s="159"/>
      <c r="L548" s="204" t="s">
        <v>455</v>
      </c>
      <c r="N548" s="141">
        <f t="shared" si="18"/>
        <v>292</v>
      </c>
    </row>
    <row r="549" spans="1:14" ht="15">
      <c r="A549" s="159"/>
      <c r="B549" s="143" t="str">
        <f t="shared" si="17"/>
        <v>293.</v>
      </c>
      <c r="C549" s="205" t="s">
        <v>938</v>
      </c>
      <c r="D549" s="162"/>
      <c r="E549" s="163"/>
      <c r="F549" s="159"/>
      <c r="G549" s="164"/>
      <c r="H549" s="204" t="s">
        <v>940</v>
      </c>
      <c r="I549" s="211">
        <v>2010</v>
      </c>
      <c r="J549" s="208">
        <v>0</v>
      </c>
      <c r="K549" s="159"/>
      <c r="L549" s="204" t="s">
        <v>455</v>
      </c>
      <c r="N549" s="141">
        <f t="shared" si="18"/>
        <v>293</v>
      </c>
    </row>
    <row r="550" spans="1:14" ht="15">
      <c r="A550" s="159"/>
      <c r="B550" s="143" t="str">
        <f t="shared" si="17"/>
        <v>294.</v>
      </c>
      <c r="C550" s="205" t="s">
        <v>938</v>
      </c>
      <c r="D550" s="162"/>
      <c r="E550" s="163"/>
      <c r="F550" s="159"/>
      <c r="G550" s="164"/>
      <c r="H550" s="204" t="s">
        <v>940</v>
      </c>
      <c r="I550" s="211">
        <v>2010</v>
      </c>
      <c r="J550" s="208">
        <v>0</v>
      </c>
      <c r="K550" s="159"/>
      <c r="L550" s="204" t="s">
        <v>455</v>
      </c>
      <c r="N550" s="141">
        <f t="shared" si="18"/>
        <v>294</v>
      </c>
    </row>
    <row r="551" spans="1:14" ht="15">
      <c r="A551" s="159"/>
      <c r="B551" s="143" t="str">
        <f t="shared" si="17"/>
        <v>295.</v>
      </c>
      <c r="C551" s="205" t="s">
        <v>938</v>
      </c>
      <c r="D551" s="162"/>
      <c r="E551" s="163"/>
      <c r="F551" s="159"/>
      <c r="G551" s="164"/>
      <c r="H551" s="204" t="s">
        <v>940</v>
      </c>
      <c r="I551" s="211">
        <v>2008</v>
      </c>
      <c r="J551" s="208">
        <v>0</v>
      </c>
      <c r="K551" s="159"/>
      <c r="L551" s="204" t="s">
        <v>455</v>
      </c>
      <c r="N551" s="141">
        <f t="shared" si="18"/>
        <v>295</v>
      </c>
    </row>
    <row r="552" spans="1:14" ht="15">
      <c r="A552" s="159"/>
      <c r="B552" s="143" t="str">
        <f t="shared" si="17"/>
        <v>296.</v>
      </c>
      <c r="C552" s="205" t="s">
        <v>938</v>
      </c>
      <c r="D552" s="162"/>
      <c r="E552" s="163"/>
      <c r="F552" s="159"/>
      <c r="G552" s="164"/>
      <c r="H552" s="204" t="s">
        <v>940</v>
      </c>
      <c r="I552" s="211">
        <v>2009</v>
      </c>
      <c r="J552" s="208">
        <v>0</v>
      </c>
      <c r="K552" s="159"/>
      <c r="L552" s="204" t="s">
        <v>455</v>
      </c>
      <c r="N552" s="141">
        <f t="shared" si="18"/>
        <v>296</v>
      </c>
    </row>
    <row r="553" spans="1:14" ht="15">
      <c r="A553" s="159"/>
      <c r="B553" s="143" t="str">
        <f t="shared" si="17"/>
        <v>297.</v>
      </c>
      <c r="C553" s="205" t="s">
        <v>938</v>
      </c>
      <c r="D553" s="162"/>
      <c r="E553" s="163"/>
      <c r="F553" s="159"/>
      <c r="G553" s="164"/>
      <c r="H553" s="204" t="s">
        <v>940</v>
      </c>
      <c r="I553" s="211">
        <v>2010</v>
      </c>
      <c r="J553" s="208">
        <v>0</v>
      </c>
      <c r="K553" s="159"/>
      <c r="L553" s="204" t="s">
        <v>455</v>
      </c>
      <c r="N553" s="141">
        <f t="shared" si="18"/>
        <v>297</v>
      </c>
    </row>
    <row r="554" spans="1:14" ht="15">
      <c r="A554" s="159"/>
      <c r="B554" s="143" t="str">
        <f t="shared" si="17"/>
        <v>298.</v>
      </c>
      <c r="C554" s="205" t="s">
        <v>938</v>
      </c>
      <c r="D554" s="162"/>
      <c r="E554" s="163"/>
      <c r="F554" s="159"/>
      <c r="G554" s="164"/>
      <c r="H554" s="204" t="s">
        <v>940</v>
      </c>
      <c r="I554" s="211">
        <v>2010</v>
      </c>
      <c r="J554" s="208">
        <v>0</v>
      </c>
      <c r="K554" s="159"/>
      <c r="L554" s="204" t="s">
        <v>455</v>
      </c>
      <c r="N554" s="141">
        <f t="shared" si="18"/>
        <v>298</v>
      </c>
    </row>
    <row r="555" spans="1:14" ht="15">
      <c r="A555" s="159"/>
      <c r="B555" s="143" t="str">
        <f t="shared" si="17"/>
        <v>299.</v>
      </c>
      <c r="C555" s="205" t="s">
        <v>938</v>
      </c>
      <c r="D555" s="162"/>
      <c r="E555" s="163"/>
      <c r="F555" s="159"/>
      <c r="G555" s="164"/>
      <c r="H555" s="204" t="s">
        <v>940</v>
      </c>
      <c r="I555" s="211">
        <v>2008</v>
      </c>
      <c r="J555" s="208">
        <v>0</v>
      </c>
      <c r="K555" s="159"/>
      <c r="L555" s="204" t="s">
        <v>455</v>
      </c>
      <c r="N555" s="141">
        <f t="shared" si="18"/>
        <v>299</v>
      </c>
    </row>
    <row r="556" spans="1:14" ht="15">
      <c r="A556" s="159"/>
      <c r="B556" s="143" t="str">
        <f t="shared" si="17"/>
        <v>300.</v>
      </c>
      <c r="C556" s="205" t="s">
        <v>938</v>
      </c>
      <c r="D556" s="162"/>
      <c r="E556" s="163"/>
      <c r="F556" s="159"/>
      <c r="G556" s="164"/>
      <c r="H556" s="204" t="s">
        <v>940</v>
      </c>
      <c r="I556" s="211">
        <v>2008</v>
      </c>
      <c r="J556" s="208">
        <f>30000*2</f>
        <v>60000</v>
      </c>
      <c r="K556" s="159"/>
      <c r="L556" s="204" t="s">
        <v>455</v>
      </c>
      <c r="N556" s="141">
        <f t="shared" si="18"/>
        <v>300</v>
      </c>
    </row>
    <row r="557" spans="1:14" ht="15">
      <c r="A557" s="159"/>
      <c r="B557" s="143" t="str">
        <f t="shared" si="17"/>
        <v>301.</v>
      </c>
      <c r="C557" s="205" t="s">
        <v>938</v>
      </c>
      <c r="D557" s="162"/>
      <c r="E557" s="163"/>
      <c r="F557" s="159"/>
      <c r="G557" s="164"/>
      <c r="H557" s="204" t="s">
        <v>940</v>
      </c>
      <c r="I557" s="211">
        <v>2009</v>
      </c>
      <c r="J557" s="208">
        <v>0</v>
      </c>
      <c r="K557" s="159"/>
      <c r="L557" s="204" t="s">
        <v>455</v>
      </c>
      <c r="N557" s="141">
        <f t="shared" si="18"/>
        <v>301</v>
      </c>
    </row>
    <row r="558" spans="1:14" ht="15">
      <c r="A558" s="159"/>
      <c r="B558" s="143" t="str">
        <f t="shared" si="17"/>
        <v>302.</v>
      </c>
      <c r="C558" s="205" t="s">
        <v>938</v>
      </c>
      <c r="D558" s="162"/>
      <c r="E558" s="163"/>
      <c r="F558" s="159"/>
      <c r="G558" s="164"/>
      <c r="H558" s="204" t="s">
        <v>940</v>
      </c>
      <c r="I558" s="211">
        <v>2010</v>
      </c>
      <c r="J558" s="208">
        <f>13000*2</f>
        <v>26000</v>
      </c>
      <c r="K558" s="159"/>
      <c r="L558" s="204" t="s">
        <v>455</v>
      </c>
      <c r="N558" s="141">
        <f t="shared" si="18"/>
        <v>302</v>
      </c>
    </row>
    <row r="559" spans="1:14" ht="15">
      <c r="A559" s="159"/>
      <c r="B559" s="143" t="str">
        <f t="shared" si="17"/>
        <v>303.</v>
      </c>
      <c r="C559" s="205" t="s">
        <v>938</v>
      </c>
      <c r="D559" s="162"/>
      <c r="E559" s="163"/>
      <c r="F559" s="159"/>
      <c r="G559" s="164"/>
      <c r="H559" s="204" t="s">
        <v>940</v>
      </c>
      <c r="I559" s="211">
        <v>2009</v>
      </c>
      <c r="J559" s="208">
        <v>0</v>
      </c>
      <c r="K559" s="159"/>
      <c r="L559" s="204" t="s">
        <v>455</v>
      </c>
      <c r="N559" s="141">
        <f t="shared" si="18"/>
        <v>303</v>
      </c>
    </row>
    <row r="560" spans="1:14" ht="15">
      <c r="A560" s="159"/>
      <c r="B560" s="143" t="str">
        <f t="shared" si="17"/>
        <v>304.</v>
      </c>
      <c r="C560" s="205" t="s">
        <v>938</v>
      </c>
      <c r="D560" s="162"/>
      <c r="E560" s="163"/>
      <c r="F560" s="159"/>
      <c r="G560" s="164"/>
      <c r="H560" s="204" t="s">
        <v>940</v>
      </c>
      <c r="I560" s="211">
        <v>2009</v>
      </c>
      <c r="J560" s="208">
        <v>0</v>
      </c>
      <c r="K560" s="159"/>
      <c r="L560" s="204" t="s">
        <v>455</v>
      </c>
      <c r="N560" s="141">
        <f t="shared" si="18"/>
        <v>304</v>
      </c>
    </row>
    <row r="561" spans="1:14" ht="15">
      <c r="A561" s="159"/>
      <c r="B561" s="143" t="str">
        <f t="shared" si="17"/>
        <v>305.</v>
      </c>
      <c r="C561" s="205" t="s">
        <v>938</v>
      </c>
      <c r="D561" s="162"/>
      <c r="E561" s="163"/>
      <c r="F561" s="159"/>
      <c r="G561" s="164"/>
      <c r="H561" s="204" t="s">
        <v>940</v>
      </c>
      <c r="I561" s="211">
        <v>2009</v>
      </c>
      <c r="J561" s="208">
        <v>0</v>
      </c>
      <c r="K561" s="159"/>
      <c r="L561" s="204" t="s">
        <v>455</v>
      </c>
      <c r="N561" s="141">
        <f t="shared" si="18"/>
        <v>305</v>
      </c>
    </row>
    <row r="562" spans="1:14" ht="15">
      <c r="A562" s="159"/>
      <c r="B562" s="143" t="str">
        <f t="shared" si="17"/>
        <v>306.</v>
      </c>
      <c r="C562" s="205" t="s">
        <v>938</v>
      </c>
      <c r="D562" s="162"/>
      <c r="E562" s="163"/>
      <c r="F562" s="159"/>
      <c r="G562" s="164"/>
      <c r="H562" s="204" t="s">
        <v>940</v>
      </c>
      <c r="I562" s="211">
        <v>2009</v>
      </c>
      <c r="J562" s="208">
        <f>24000*2</f>
        <v>48000</v>
      </c>
      <c r="K562" s="159"/>
      <c r="L562" s="204" t="s">
        <v>455</v>
      </c>
      <c r="N562" s="141">
        <f t="shared" si="18"/>
        <v>306</v>
      </c>
    </row>
    <row r="563" spans="1:14" ht="15">
      <c r="A563" s="159"/>
      <c r="B563" s="143" t="str">
        <f t="shared" si="17"/>
        <v>307.</v>
      </c>
      <c r="C563" s="205" t="s">
        <v>938</v>
      </c>
      <c r="D563" s="162"/>
      <c r="E563" s="163"/>
      <c r="F563" s="159"/>
      <c r="G563" s="164"/>
      <c r="H563" s="204" t="s">
        <v>940</v>
      </c>
      <c r="I563" s="211">
        <v>2009</v>
      </c>
      <c r="J563" s="208">
        <v>0</v>
      </c>
      <c r="K563" s="159"/>
      <c r="L563" s="204" t="s">
        <v>455</v>
      </c>
      <c r="N563" s="141">
        <f t="shared" si="18"/>
        <v>307</v>
      </c>
    </row>
    <row r="564" spans="1:14" ht="15">
      <c r="A564" s="159"/>
      <c r="B564" s="143" t="str">
        <f t="shared" si="17"/>
        <v>308.</v>
      </c>
      <c r="C564" s="205" t="s">
        <v>938</v>
      </c>
      <c r="D564" s="162"/>
      <c r="E564" s="163"/>
      <c r="F564" s="159"/>
      <c r="G564" s="164"/>
      <c r="H564" s="204" t="s">
        <v>940</v>
      </c>
      <c r="I564" s="211">
        <v>2009</v>
      </c>
      <c r="J564" s="208">
        <v>0</v>
      </c>
      <c r="K564" s="159"/>
      <c r="L564" s="204" t="s">
        <v>455</v>
      </c>
      <c r="N564" s="141">
        <f t="shared" si="18"/>
        <v>308</v>
      </c>
    </row>
    <row r="565" spans="1:14" ht="15">
      <c r="A565" s="159"/>
      <c r="B565" s="143" t="str">
        <f t="shared" si="17"/>
        <v>309.</v>
      </c>
      <c r="C565" s="205" t="s">
        <v>938</v>
      </c>
      <c r="D565" s="162"/>
      <c r="E565" s="163"/>
      <c r="F565" s="159"/>
      <c r="G565" s="164"/>
      <c r="H565" s="204" t="s">
        <v>940</v>
      </c>
      <c r="I565" s="211">
        <v>2010</v>
      </c>
      <c r="J565" s="208">
        <v>0</v>
      </c>
      <c r="K565" s="159"/>
      <c r="L565" s="204" t="s">
        <v>455</v>
      </c>
      <c r="N565" s="141">
        <f t="shared" si="18"/>
        <v>309</v>
      </c>
    </row>
    <row r="566" spans="1:14" ht="15">
      <c r="A566" s="159"/>
      <c r="B566" s="143" t="str">
        <f t="shared" si="17"/>
        <v>310.</v>
      </c>
      <c r="C566" s="205" t="s">
        <v>938</v>
      </c>
      <c r="D566" s="162"/>
      <c r="E566" s="163"/>
      <c r="F566" s="159"/>
      <c r="G566" s="164"/>
      <c r="H566" s="204" t="s">
        <v>940</v>
      </c>
      <c r="I566" s="211">
        <v>2009</v>
      </c>
      <c r="J566" s="208">
        <v>0</v>
      </c>
      <c r="K566" s="159"/>
      <c r="L566" s="204" t="s">
        <v>455</v>
      </c>
      <c r="N566" s="141">
        <f t="shared" si="18"/>
        <v>310</v>
      </c>
    </row>
    <row r="567" spans="1:14" ht="15">
      <c r="A567" s="159"/>
      <c r="B567" s="143" t="str">
        <f t="shared" si="17"/>
        <v>311.</v>
      </c>
      <c r="C567" s="205" t="s">
        <v>938</v>
      </c>
      <c r="D567" s="162"/>
      <c r="E567" s="163"/>
      <c r="F567" s="159"/>
      <c r="G567" s="164"/>
      <c r="H567" s="204" t="s">
        <v>940</v>
      </c>
      <c r="I567" s="211">
        <v>2010</v>
      </c>
      <c r="J567" s="208">
        <f>13000*2</f>
        <v>26000</v>
      </c>
      <c r="K567" s="159"/>
      <c r="L567" s="204" t="s">
        <v>455</v>
      </c>
      <c r="N567" s="141">
        <f t="shared" si="18"/>
        <v>311</v>
      </c>
    </row>
    <row r="568" spans="1:14" ht="15">
      <c r="A568" s="159"/>
      <c r="B568" s="143" t="str">
        <f t="shared" si="17"/>
        <v>312.</v>
      </c>
      <c r="C568" s="205" t="s">
        <v>938</v>
      </c>
      <c r="D568" s="162"/>
      <c r="E568" s="163"/>
      <c r="F568" s="159"/>
      <c r="G568" s="164"/>
      <c r="H568" s="204" t="s">
        <v>940</v>
      </c>
      <c r="I568" s="211">
        <v>2010</v>
      </c>
      <c r="J568" s="208">
        <f>13000*2</f>
        <v>26000</v>
      </c>
      <c r="K568" s="159"/>
      <c r="L568" s="204" t="s">
        <v>455</v>
      </c>
      <c r="N568" s="141">
        <f t="shared" si="18"/>
        <v>312</v>
      </c>
    </row>
    <row r="569" spans="1:14" ht="15">
      <c r="A569" s="159"/>
      <c r="B569" s="143" t="str">
        <f t="shared" si="17"/>
        <v>313.</v>
      </c>
      <c r="C569" s="205" t="s">
        <v>938</v>
      </c>
      <c r="D569" s="162"/>
      <c r="E569" s="163"/>
      <c r="F569" s="159"/>
      <c r="G569" s="164"/>
      <c r="H569" s="204" t="s">
        <v>940</v>
      </c>
      <c r="I569" s="211">
        <v>2010</v>
      </c>
      <c r="J569" s="208">
        <f>15000*2</f>
        <v>30000</v>
      </c>
      <c r="K569" s="159"/>
      <c r="L569" s="204" t="s">
        <v>455</v>
      </c>
      <c r="N569" s="141">
        <f t="shared" si="18"/>
        <v>313</v>
      </c>
    </row>
    <row r="570" spans="1:14" ht="15">
      <c r="A570" s="159"/>
      <c r="B570" s="143" t="str">
        <f t="shared" si="17"/>
        <v>314.</v>
      </c>
      <c r="C570" s="205" t="s">
        <v>938</v>
      </c>
      <c r="D570" s="162"/>
      <c r="E570" s="163"/>
      <c r="F570" s="159"/>
      <c r="G570" s="164"/>
      <c r="H570" s="204" t="s">
        <v>940</v>
      </c>
      <c r="I570" s="211">
        <v>2006</v>
      </c>
      <c r="J570" s="208">
        <v>0</v>
      </c>
      <c r="K570" s="159"/>
      <c r="L570" s="204" t="s">
        <v>455</v>
      </c>
      <c r="N570" s="141">
        <f t="shared" si="18"/>
        <v>314</v>
      </c>
    </row>
    <row r="571" spans="1:14" ht="15">
      <c r="A571" s="159"/>
      <c r="B571" s="143" t="str">
        <f t="shared" si="17"/>
        <v>315.</v>
      </c>
      <c r="C571" s="205" t="s">
        <v>938</v>
      </c>
      <c r="D571" s="162"/>
      <c r="E571" s="163"/>
      <c r="F571" s="159"/>
      <c r="G571" s="164"/>
      <c r="H571" s="204" t="s">
        <v>940</v>
      </c>
      <c r="I571" s="211">
        <v>2010</v>
      </c>
      <c r="J571" s="208">
        <f>13000*2</f>
        <v>26000</v>
      </c>
      <c r="K571" s="159"/>
      <c r="L571" s="204" t="s">
        <v>455</v>
      </c>
      <c r="N571" s="141">
        <f t="shared" si="18"/>
        <v>315</v>
      </c>
    </row>
    <row r="572" spans="1:14" ht="15">
      <c r="A572" s="159"/>
      <c r="B572" s="143" t="str">
        <f t="shared" si="17"/>
        <v>316.</v>
      </c>
      <c r="C572" s="205" t="s">
        <v>938</v>
      </c>
      <c r="D572" s="162"/>
      <c r="E572" s="163"/>
      <c r="F572" s="159"/>
      <c r="G572" s="164"/>
      <c r="H572" s="204" t="s">
        <v>940</v>
      </c>
      <c r="I572" s="211">
        <v>2011</v>
      </c>
      <c r="J572" s="208">
        <v>0</v>
      </c>
      <c r="K572" s="159"/>
      <c r="L572" s="204" t="s">
        <v>455</v>
      </c>
      <c r="N572" s="141">
        <f t="shared" si="18"/>
        <v>316</v>
      </c>
    </row>
    <row r="573" spans="1:14" ht="15">
      <c r="A573" s="159"/>
      <c r="B573" s="143" t="str">
        <f t="shared" si="17"/>
        <v>317.</v>
      </c>
      <c r="C573" s="205" t="s">
        <v>938</v>
      </c>
      <c r="D573" s="162"/>
      <c r="E573" s="163"/>
      <c r="F573" s="159"/>
      <c r="G573" s="164"/>
      <c r="H573" s="204" t="s">
        <v>940</v>
      </c>
      <c r="I573" s="211">
        <v>2009</v>
      </c>
      <c r="J573" s="208">
        <v>0</v>
      </c>
      <c r="K573" s="159"/>
      <c r="L573" s="204" t="s">
        <v>455</v>
      </c>
      <c r="N573" s="141">
        <f t="shared" si="18"/>
        <v>317</v>
      </c>
    </row>
    <row r="574" spans="1:14" ht="15">
      <c r="A574" s="159"/>
      <c r="B574" s="143" t="str">
        <f t="shared" si="17"/>
        <v>318.</v>
      </c>
      <c r="C574" s="205" t="s">
        <v>938</v>
      </c>
      <c r="D574" s="162"/>
      <c r="E574" s="163"/>
      <c r="F574" s="159"/>
      <c r="G574" s="164"/>
      <c r="H574" s="204" t="s">
        <v>940</v>
      </c>
      <c r="I574" s="211">
        <v>2010</v>
      </c>
      <c r="J574" s="208">
        <f>15000*2</f>
        <v>30000</v>
      </c>
      <c r="K574" s="159"/>
      <c r="L574" s="204" t="s">
        <v>455</v>
      </c>
      <c r="N574" s="141">
        <f t="shared" si="18"/>
        <v>318</v>
      </c>
    </row>
    <row r="575" spans="1:14" ht="15">
      <c r="A575" s="159"/>
      <c r="B575" s="143" t="str">
        <f t="shared" si="17"/>
        <v>319.</v>
      </c>
      <c r="C575" s="205" t="s">
        <v>938</v>
      </c>
      <c r="D575" s="162"/>
      <c r="E575" s="163"/>
      <c r="F575" s="159"/>
      <c r="G575" s="164"/>
      <c r="H575" s="204" t="s">
        <v>940</v>
      </c>
      <c r="I575" s="211">
        <v>2011</v>
      </c>
      <c r="J575" s="208">
        <f>20000*2</f>
        <v>40000</v>
      </c>
      <c r="K575" s="159"/>
      <c r="L575" s="204" t="s">
        <v>455</v>
      </c>
      <c r="N575" s="141">
        <f t="shared" si="18"/>
        <v>319</v>
      </c>
    </row>
    <row r="576" spans="1:14" ht="15">
      <c r="A576" s="159"/>
      <c r="B576" s="143" t="str">
        <f t="shared" si="17"/>
        <v>320.</v>
      </c>
      <c r="C576" s="205" t="s">
        <v>938</v>
      </c>
      <c r="D576" s="162"/>
      <c r="E576" s="163"/>
      <c r="F576" s="159"/>
      <c r="G576" s="164"/>
      <c r="H576" s="204" t="s">
        <v>940</v>
      </c>
      <c r="I576" s="211">
        <v>2008</v>
      </c>
      <c r="J576" s="208">
        <v>0</v>
      </c>
      <c r="K576" s="159"/>
      <c r="L576" s="204" t="s">
        <v>455</v>
      </c>
      <c r="N576" s="141">
        <f t="shared" si="18"/>
        <v>320</v>
      </c>
    </row>
    <row r="577" spans="1:14" ht="15">
      <c r="A577" s="159"/>
      <c r="B577" s="143" t="str">
        <f t="shared" ref="B577:B640" si="19">N577&amp;"."</f>
        <v>321.</v>
      </c>
      <c r="C577" s="205" t="s">
        <v>938</v>
      </c>
      <c r="D577" s="162"/>
      <c r="E577" s="163"/>
      <c r="F577" s="159"/>
      <c r="G577" s="164"/>
      <c r="H577" s="204" t="s">
        <v>940</v>
      </c>
      <c r="I577" s="211">
        <v>2010</v>
      </c>
      <c r="J577" s="208">
        <v>0</v>
      </c>
      <c r="K577" s="159"/>
      <c r="L577" s="204" t="s">
        <v>455</v>
      </c>
      <c r="N577" s="141">
        <f t="shared" si="18"/>
        <v>321</v>
      </c>
    </row>
    <row r="578" spans="1:14" ht="15">
      <c r="A578" s="159"/>
      <c r="B578" s="143" t="str">
        <f t="shared" si="19"/>
        <v>322.</v>
      </c>
      <c r="C578" s="205" t="s">
        <v>938</v>
      </c>
      <c r="D578" s="162"/>
      <c r="E578" s="163"/>
      <c r="F578" s="159"/>
      <c r="G578" s="164"/>
      <c r="H578" s="204" t="s">
        <v>940</v>
      </c>
      <c r="I578" s="211">
        <v>2009</v>
      </c>
      <c r="J578" s="208">
        <v>0</v>
      </c>
      <c r="K578" s="159"/>
      <c r="L578" s="204" t="s">
        <v>455</v>
      </c>
      <c r="N578" s="141">
        <f t="shared" si="18"/>
        <v>322</v>
      </c>
    </row>
    <row r="579" spans="1:14" ht="15">
      <c r="A579" s="159"/>
      <c r="B579" s="143" t="str">
        <f t="shared" si="19"/>
        <v>323.</v>
      </c>
      <c r="C579" s="205" t="s">
        <v>938</v>
      </c>
      <c r="D579" s="162"/>
      <c r="E579" s="163"/>
      <c r="F579" s="159"/>
      <c r="G579" s="164"/>
      <c r="H579" s="204" t="s">
        <v>940</v>
      </c>
      <c r="I579" s="211">
        <v>2009</v>
      </c>
      <c r="J579" s="208">
        <v>0</v>
      </c>
      <c r="K579" s="159"/>
      <c r="L579" s="204" t="s">
        <v>455</v>
      </c>
      <c r="N579" s="141">
        <f t="shared" ref="N579:N642" si="20">N578+1</f>
        <v>323</v>
      </c>
    </row>
    <row r="580" spans="1:14" ht="15">
      <c r="A580" s="159"/>
      <c r="B580" s="143" t="str">
        <f t="shared" si="19"/>
        <v>324.</v>
      </c>
      <c r="C580" s="205" t="s">
        <v>938</v>
      </c>
      <c r="D580" s="162"/>
      <c r="E580" s="163"/>
      <c r="F580" s="159"/>
      <c r="G580" s="164"/>
      <c r="H580" s="204" t="s">
        <v>940</v>
      </c>
      <c r="I580" s="211">
        <v>2009</v>
      </c>
      <c r="J580" s="208">
        <v>0</v>
      </c>
      <c r="K580" s="159"/>
      <c r="L580" s="204" t="s">
        <v>455</v>
      </c>
      <c r="N580" s="141">
        <f t="shared" si="20"/>
        <v>324</v>
      </c>
    </row>
    <row r="581" spans="1:14" ht="15">
      <c r="A581" s="159"/>
      <c r="B581" s="143" t="str">
        <f t="shared" si="19"/>
        <v>325.</v>
      </c>
      <c r="C581" s="205" t="s">
        <v>938</v>
      </c>
      <c r="D581" s="162"/>
      <c r="E581" s="163"/>
      <c r="F581" s="159"/>
      <c r="G581" s="164"/>
      <c r="H581" s="204" t="s">
        <v>940</v>
      </c>
      <c r="I581" s="211">
        <v>2010</v>
      </c>
      <c r="J581" s="208">
        <v>0</v>
      </c>
      <c r="K581" s="159"/>
      <c r="L581" s="204" t="s">
        <v>455</v>
      </c>
      <c r="N581" s="141">
        <f t="shared" si="20"/>
        <v>325</v>
      </c>
    </row>
    <row r="582" spans="1:14" ht="15">
      <c r="A582" s="159"/>
      <c r="B582" s="143" t="str">
        <f t="shared" si="19"/>
        <v>326.</v>
      </c>
      <c r="C582" s="205" t="s">
        <v>938</v>
      </c>
      <c r="D582" s="162"/>
      <c r="E582" s="163"/>
      <c r="F582" s="159"/>
      <c r="G582" s="164"/>
      <c r="H582" s="204" t="s">
        <v>940</v>
      </c>
      <c r="I582" s="211">
        <v>2009</v>
      </c>
      <c r="J582" s="208">
        <v>15000</v>
      </c>
      <c r="K582" s="159"/>
      <c r="L582" s="204" t="s">
        <v>455</v>
      </c>
      <c r="N582" s="141">
        <f t="shared" si="20"/>
        <v>326</v>
      </c>
    </row>
    <row r="583" spans="1:14" ht="15">
      <c r="A583" s="159"/>
      <c r="B583" s="143" t="str">
        <f t="shared" si="19"/>
        <v>327.</v>
      </c>
      <c r="C583" s="205" t="s">
        <v>938</v>
      </c>
      <c r="D583" s="162"/>
      <c r="E583" s="163"/>
      <c r="F583" s="159"/>
      <c r="G583" s="164"/>
      <c r="H583" s="204" t="s">
        <v>940</v>
      </c>
      <c r="I583" s="211">
        <v>2009</v>
      </c>
      <c r="J583" s="208">
        <v>0</v>
      </c>
      <c r="K583" s="159"/>
      <c r="L583" s="204" t="s">
        <v>455</v>
      </c>
      <c r="N583" s="141">
        <f t="shared" si="20"/>
        <v>327</v>
      </c>
    </row>
    <row r="584" spans="1:14" ht="15">
      <c r="A584" s="159"/>
      <c r="B584" s="143" t="str">
        <f t="shared" si="19"/>
        <v>328.</v>
      </c>
      <c r="C584" s="205" t="s">
        <v>938</v>
      </c>
      <c r="D584" s="162"/>
      <c r="E584" s="163"/>
      <c r="F584" s="159"/>
      <c r="G584" s="164"/>
      <c r="H584" s="204" t="s">
        <v>940</v>
      </c>
      <c r="I584" s="211">
        <v>2010</v>
      </c>
      <c r="J584" s="208">
        <v>27500</v>
      </c>
      <c r="K584" s="159"/>
      <c r="L584" s="204" t="s">
        <v>455</v>
      </c>
      <c r="N584" s="141">
        <f t="shared" si="20"/>
        <v>328</v>
      </c>
    </row>
    <row r="585" spans="1:14" ht="15">
      <c r="A585" s="159"/>
      <c r="B585" s="143" t="str">
        <f t="shared" si="19"/>
        <v>329.</v>
      </c>
      <c r="C585" s="205" t="s">
        <v>938</v>
      </c>
      <c r="D585" s="162"/>
      <c r="E585" s="163"/>
      <c r="F585" s="159"/>
      <c r="G585" s="164"/>
      <c r="H585" s="204" t="s">
        <v>940</v>
      </c>
      <c r="I585" s="211">
        <v>2010</v>
      </c>
      <c r="J585" s="208">
        <f>15000*2</f>
        <v>30000</v>
      </c>
      <c r="K585" s="159"/>
      <c r="L585" s="204" t="s">
        <v>455</v>
      </c>
      <c r="N585" s="141">
        <f t="shared" si="20"/>
        <v>329</v>
      </c>
    </row>
    <row r="586" spans="1:14" ht="15">
      <c r="A586" s="159"/>
      <c r="B586" s="143" t="str">
        <f t="shared" si="19"/>
        <v>330.</v>
      </c>
      <c r="C586" s="205" t="s">
        <v>938</v>
      </c>
      <c r="D586" s="162"/>
      <c r="E586" s="163"/>
      <c r="F586" s="159"/>
      <c r="G586" s="164"/>
      <c r="H586" s="204" t="s">
        <v>940</v>
      </c>
      <c r="I586" s="211">
        <v>2010</v>
      </c>
      <c r="J586" s="208">
        <v>0</v>
      </c>
      <c r="K586" s="159"/>
      <c r="L586" s="204" t="s">
        <v>455</v>
      </c>
      <c r="N586" s="141">
        <f t="shared" si="20"/>
        <v>330</v>
      </c>
    </row>
    <row r="587" spans="1:14" ht="15">
      <c r="A587" s="159"/>
      <c r="B587" s="143" t="str">
        <f t="shared" si="19"/>
        <v>331.</v>
      </c>
      <c r="C587" s="205" t="s">
        <v>938</v>
      </c>
      <c r="D587" s="162"/>
      <c r="E587" s="163"/>
      <c r="F587" s="159"/>
      <c r="G587" s="164"/>
      <c r="H587" s="204" t="s">
        <v>940</v>
      </c>
      <c r="I587" s="211">
        <v>2009</v>
      </c>
      <c r="J587" s="208">
        <v>0</v>
      </c>
      <c r="K587" s="159"/>
      <c r="L587" s="204" t="s">
        <v>455</v>
      </c>
      <c r="N587" s="141">
        <f t="shared" si="20"/>
        <v>331</v>
      </c>
    </row>
    <row r="588" spans="1:14" ht="15">
      <c r="A588" s="159"/>
      <c r="B588" s="143" t="str">
        <f t="shared" si="19"/>
        <v>332.</v>
      </c>
      <c r="C588" s="205" t="s">
        <v>938</v>
      </c>
      <c r="D588" s="162"/>
      <c r="E588" s="163"/>
      <c r="F588" s="159"/>
      <c r="G588" s="164"/>
      <c r="H588" s="204" t="s">
        <v>940</v>
      </c>
      <c r="I588" s="211">
        <v>2009</v>
      </c>
      <c r="J588" s="208">
        <v>15000</v>
      </c>
      <c r="K588" s="159"/>
      <c r="L588" s="204" t="s">
        <v>455</v>
      </c>
      <c r="N588" s="141">
        <f t="shared" si="20"/>
        <v>332</v>
      </c>
    </row>
    <row r="589" spans="1:14" ht="15">
      <c r="A589" s="159"/>
      <c r="B589" s="143" t="str">
        <f t="shared" si="19"/>
        <v>333.</v>
      </c>
      <c r="C589" s="205" t="s">
        <v>938</v>
      </c>
      <c r="D589" s="162"/>
      <c r="E589" s="163"/>
      <c r="F589" s="159"/>
      <c r="G589" s="164"/>
      <c r="H589" s="204" t="s">
        <v>940</v>
      </c>
      <c r="I589" s="211">
        <v>2009</v>
      </c>
      <c r="J589" s="208">
        <v>15000</v>
      </c>
      <c r="K589" s="159"/>
      <c r="L589" s="204" t="s">
        <v>455</v>
      </c>
      <c r="N589" s="141">
        <f t="shared" si="20"/>
        <v>333</v>
      </c>
    </row>
    <row r="590" spans="1:14" ht="15">
      <c r="A590" s="159"/>
      <c r="B590" s="143" t="str">
        <f t="shared" si="19"/>
        <v>334.</v>
      </c>
      <c r="C590" s="205" t="s">
        <v>938</v>
      </c>
      <c r="D590" s="162"/>
      <c r="E590" s="163"/>
      <c r="F590" s="159"/>
      <c r="G590" s="164"/>
      <c r="H590" s="204" t="s">
        <v>940</v>
      </c>
      <c r="I590" s="211">
        <v>2011</v>
      </c>
      <c r="J590" s="208">
        <v>15000</v>
      </c>
      <c r="K590" s="159"/>
      <c r="L590" s="204" t="s">
        <v>455</v>
      </c>
      <c r="N590" s="141">
        <f t="shared" si="20"/>
        <v>334</v>
      </c>
    </row>
    <row r="591" spans="1:14" ht="15">
      <c r="A591" s="159"/>
      <c r="B591" s="143" t="str">
        <f t="shared" si="19"/>
        <v>335.</v>
      </c>
      <c r="C591" s="205" t="s">
        <v>938</v>
      </c>
      <c r="D591" s="162"/>
      <c r="E591" s="163"/>
      <c r="F591" s="159"/>
      <c r="G591" s="164"/>
      <c r="H591" s="204" t="s">
        <v>940</v>
      </c>
      <c r="I591" s="211">
        <v>2011</v>
      </c>
      <c r="J591" s="208">
        <f>15000*2</f>
        <v>30000</v>
      </c>
      <c r="K591" s="159"/>
      <c r="L591" s="204" t="s">
        <v>455</v>
      </c>
      <c r="N591" s="141">
        <f t="shared" si="20"/>
        <v>335</v>
      </c>
    </row>
    <row r="592" spans="1:14" ht="15">
      <c r="A592" s="159"/>
      <c r="B592" s="143" t="str">
        <f t="shared" si="19"/>
        <v>336.</v>
      </c>
      <c r="C592" s="205" t="s">
        <v>938</v>
      </c>
      <c r="D592" s="162"/>
      <c r="E592" s="163"/>
      <c r="F592" s="159"/>
      <c r="G592" s="164"/>
      <c r="H592" s="204" t="s">
        <v>940</v>
      </c>
      <c r="I592" s="211">
        <v>2009</v>
      </c>
      <c r="J592" s="208">
        <f>15000*2</f>
        <v>30000</v>
      </c>
      <c r="K592" s="159"/>
      <c r="L592" s="204" t="s">
        <v>455</v>
      </c>
      <c r="N592" s="141">
        <f t="shared" si="20"/>
        <v>336</v>
      </c>
    </row>
    <row r="593" spans="1:14" ht="15">
      <c r="A593" s="159"/>
      <c r="B593" s="143" t="str">
        <f t="shared" si="19"/>
        <v>337.</v>
      </c>
      <c r="C593" s="205" t="s">
        <v>938</v>
      </c>
      <c r="D593" s="162"/>
      <c r="E593" s="163"/>
      <c r="F593" s="159"/>
      <c r="G593" s="164"/>
      <c r="H593" s="204" t="s">
        <v>940</v>
      </c>
      <c r="I593" s="211">
        <v>2009</v>
      </c>
      <c r="J593" s="208">
        <v>0</v>
      </c>
      <c r="K593" s="159"/>
      <c r="L593" s="204" t="s">
        <v>455</v>
      </c>
      <c r="N593" s="141">
        <f t="shared" si="20"/>
        <v>337</v>
      </c>
    </row>
    <row r="594" spans="1:14" ht="15">
      <c r="A594" s="159"/>
      <c r="B594" s="143" t="str">
        <f t="shared" si="19"/>
        <v>338.</v>
      </c>
      <c r="C594" s="205" t="s">
        <v>938</v>
      </c>
      <c r="D594" s="162"/>
      <c r="E594" s="163"/>
      <c r="F594" s="159"/>
      <c r="G594" s="164"/>
      <c r="H594" s="204" t="s">
        <v>940</v>
      </c>
      <c r="I594" s="211">
        <v>2009</v>
      </c>
      <c r="J594" s="208">
        <v>0</v>
      </c>
      <c r="K594" s="159"/>
      <c r="L594" s="204" t="s">
        <v>455</v>
      </c>
      <c r="N594" s="141">
        <f t="shared" si="20"/>
        <v>338</v>
      </c>
    </row>
    <row r="595" spans="1:14" ht="15">
      <c r="A595" s="159"/>
      <c r="B595" s="143" t="str">
        <f t="shared" si="19"/>
        <v>339.</v>
      </c>
      <c r="C595" s="205" t="s">
        <v>938</v>
      </c>
      <c r="D595" s="162"/>
      <c r="E595" s="163"/>
      <c r="F595" s="159"/>
      <c r="G595" s="164"/>
      <c r="H595" s="204" t="s">
        <v>940</v>
      </c>
      <c r="I595" s="211">
        <v>2009</v>
      </c>
      <c r="J595" s="208">
        <v>0</v>
      </c>
      <c r="K595" s="159"/>
      <c r="L595" s="204" t="s">
        <v>455</v>
      </c>
      <c r="N595" s="141">
        <f t="shared" si="20"/>
        <v>339</v>
      </c>
    </row>
    <row r="596" spans="1:14" ht="15">
      <c r="A596" s="159"/>
      <c r="B596" s="143" t="str">
        <f t="shared" si="19"/>
        <v>340.</v>
      </c>
      <c r="C596" s="205" t="s">
        <v>938</v>
      </c>
      <c r="D596" s="162"/>
      <c r="E596" s="163"/>
      <c r="F596" s="159"/>
      <c r="G596" s="164"/>
      <c r="H596" s="204" t="s">
        <v>940</v>
      </c>
      <c r="I596" s="211">
        <v>2010</v>
      </c>
      <c r="J596" s="208">
        <v>0</v>
      </c>
      <c r="K596" s="159"/>
      <c r="L596" s="204" t="s">
        <v>455</v>
      </c>
      <c r="N596" s="141">
        <f t="shared" si="20"/>
        <v>340</v>
      </c>
    </row>
    <row r="597" spans="1:14" ht="15">
      <c r="A597" s="159"/>
      <c r="B597" s="143" t="str">
        <f t="shared" si="19"/>
        <v>341.</v>
      </c>
      <c r="C597" s="205" t="s">
        <v>938</v>
      </c>
      <c r="D597" s="162"/>
      <c r="E597" s="163"/>
      <c r="F597" s="159"/>
      <c r="G597" s="164"/>
      <c r="H597" s="204" t="s">
        <v>940</v>
      </c>
      <c r="I597" s="211">
        <v>2010</v>
      </c>
      <c r="J597" s="208">
        <f>18000*2</f>
        <v>36000</v>
      </c>
      <c r="K597" s="159"/>
      <c r="L597" s="204" t="s">
        <v>455</v>
      </c>
      <c r="N597" s="141">
        <f t="shared" si="20"/>
        <v>341</v>
      </c>
    </row>
    <row r="598" spans="1:14" ht="15">
      <c r="A598" s="159"/>
      <c r="B598" s="143" t="str">
        <f t="shared" si="19"/>
        <v>342.</v>
      </c>
      <c r="C598" s="205" t="s">
        <v>938</v>
      </c>
      <c r="D598" s="162"/>
      <c r="E598" s="163"/>
      <c r="F598" s="159"/>
      <c r="G598" s="164"/>
      <c r="H598" s="204" t="s">
        <v>940</v>
      </c>
      <c r="I598" s="211">
        <v>2010</v>
      </c>
      <c r="J598" s="208">
        <v>0</v>
      </c>
      <c r="K598" s="159"/>
      <c r="L598" s="204" t="s">
        <v>455</v>
      </c>
      <c r="N598" s="141">
        <f t="shared" si="20"/>
        <v>342</v>
      </c>
    </row>
    <row r="599" spans="1:14" ht="15">
      <c r="A599" s="159"/>
      <c r="B599" s="143" t="str">
        <f t="shared" si="19"/>
        <v>343.</v>
      </c>
      <c r="C599" s="205" t="s">
        <v>938</v>
      </c>
      <c r="D599" s="162"/>
      <c r="E599" s="163"/>
      <c r="F599" s="159"/>
      <c r="G599" s="164"/>
      <c r="H599" s="204" t="s">
        <v>940</v>
      </c>
      <c r="I599" s="211">
        <v>2009</v>
      </c>
      <c r="J599" s="208">
        <f>15000*2</f>
        <v>30000</v>
      </c>
      <c r="K599" s="159"/>
      <c r="L599" s="204" t="s">
        <v>455</v>
      </c>
      <c r="N599" s="141">
        <f t="shared" si="20"/>
        <v>343</v>
      </c>
    </row>
    <row r="600" spans="1:14" ht="15">
      <c r="A600" s="159"/>
      <c r="B600" s="143" t="str">
        <f t="shared" si="19"/>
        <v>344.</v>
      </c>
      <c r="C600" s="205" t="s">
        <v>938</v>
      </c>
      <c r="D600" s="162"/>
      <c r="E600" s="163"/>
      <c r="F600" s="159"/>
      <c r="G600" s="164"/>
      <c r="H600" s="204" t="s">
        <v>940</v>
      </c>
      <c r="I600" s="211">
        <v>2010</v>
      </c>
      <c r="J600" s="208">
        <v>0</v>
      </c>
      <c r="K600" s="159"/>
      <c r="L600" s="204" t="s">
        <v>455</v>
      </c>
      <c r="N600" s="141">
        <f t="shared" si="20"/>
        <v>344</v>
      </c>
    </row>
    <row r="601" spans="1:14" ht="15">
      <c r="A601" s="159"/>
      <c r="B601" s="143" t="str">
        <f t="shared" si="19"/>
        <v>345.</v>
      </c>
      <c r="C601" s="205" t="s">
        <v>938</v>
      </c>
      <c r="D601" s="162"/>
      <c r="E601" s="163"/>
      <c r="F601" s="159"/>
      <c r="G601" s="164"/>
      <c r="H601" s="204" t="s">
        <v>940</v>
      </c>
      <c r="I601" s="211">
        <v>2009</v>
      </c>
      <c r="J601" s="208">
        <v>0</v>
      </c>
      <c r="K601" s="159"/>
      <c r="L601" s="204" t="s">
        <v>455</v>
      </c>
      <c r="N601" s="141">
        <f t="shared" si="20"/>
        <v>345</v>
      </c>
    </row>
    <row r="602" spans="1:14" ht="15">
      <c r="A602" s="159"/>
      <c r="B602" s="143" t="str">
        <f t="shared" si="19"/>
        <v>346.</v>
      </c>
      <c r="C602" s="205" t="s">
        <v>938</v>
      </c>
      <c r="D602" s="162"/>
      <c r="E602" s="163"/>
      <c r="F602" s="159"/>
      <c r="G602" s="164"/>
      <c r="H602" s="204" t="s">
        <v>940</v>
      </c>
      <c r="I602" s="211">
        <v>2008</v>
      </c>
      <c r="J602" s="208">
        <f>31500*2</f>
        <v>63000</v>
      </c>
      <c r="K602" s="159"/>
      <c r="L602" s="204" t="s">
        <v>455</v>
      </c>
      <c r="N602" s="141">
        <f t="shared" si="20"/>
        <v>346</v>
      </c>
    </row>
    <row r="603" spans="1:14" ht="15">
      <c r="A603" s="159"/>
      <c r="B603" s="143" t="str">
        <f t="shared" si="19"/>
        <v>347.</v>
      </c>
      <c r="C603" s="205" t="s">
        <v>938</v>
      </c>
      <c r="D603" s="162"/>
      <c r="E603" s="163"/>
      <c r="F603" s="159"/>
      <c r="G603" s="164"/>
      <c r="H603" s="204" t="s">
        <v>940</v>
      </c>
      <c r="I603" s="211">
        <v>2009</v>
      </c>
      <c r="J603" s="208">
        <v>0</v>
      </c>
      <c r="K603" s="159"/>
      <c r="L603" s="204" t="s">
        <v>455</v>
      </c>
      <c r="N603" s="141">
        <f t="shared" si="20"/>
        <v>347</v>
      </c>
    </row>
    <row r="604" spans="1:14" ht="15">
      <c r="A604" s="159"/>
      <c r="B604" s="143" t="str">
        <f t="shared" si="19"/>
        <v>348.</v>
      </c>
      <c r="C604" s="205" t="s">
        <v>938</v>
      </c>
      <c r="D604" s="162"/>
      <c r="E604" s="163"/>
      <c r="F604" s="159"/>
      <c r="G604" s="164"/>
      <c r="H604" s="204" t="s">
        <v>940</v>
      </c>
      <c r="I604" s="211">
        <v>2010</v>
      </c>
      <c r="J604" s="208">
        <v>15000</v>
      </c>
      <c r="K604" s="159"/>
      <c r="L604" s="204" t="s">
        <v>455</v>
      </c>
      <c r="N604" s="141">
        <f t="shared" si="20"/>
        <v>348</v>
      </c>
    </row>
    <row r="605" spans="1:14" ht="15">
      <c r="A605" s="159"/>
      <c r="B605" s="143" t="str">
        <f t="shared" si="19"/>
        <v>349.</v>
      </c>
      <c r="C605" s="205" t="s">
        <v>938</v>
      </c>
      <c r="D605" s="162"/>
      <c r="E605" s="163"/>
      <c r="F605" s="159"/>
      <c r="G605" s="164"/>
      <c r="H605" s="204" t="s">
        <v>940</v>
      </c>
      <c r="I605" s="211">
        <v>2009</v>
      </c>
      <c r="J605" s="208">
        <v>0</v>
      </c>
      <c r="K605" s="159"/>
      <c r="L605" s="204" t="s">
        <v>455</v>
      </c>
      <c r="N605" s="141">
        <f t="shared" si="20"/>
        <v>349</v>
      </c>
    </row>
    <row r="606" spans="1:14" ht="15">
      <c r="A606" s="159"/>
      <c r="B606" s="143" t="str">
        <f t="shared" si="19"/>
        <v>350.</v>
      </c>
      <c r="C606" s="205" t="s">
        <v>938</v>
      </c>
      <c r="D606" s="162"/>
      <c r="E606" s="163"/>
      <c r="F606" s="159"/>
      <c r="G606" s="164"/>
      <c r="H606" s="204" t="s">
        <v>940</v>
      </c>
      <c r="I606" s="211">
        <v>2009</v>
      </c>
      <c r="J606" s="208">
        <v>0</v>
      </c>
      <c r="K606" s="159"/>
      <c r="L606" s="204" t="s">
        <v>455</v>
      </c>
      <c r="N606" s="141">
        <f t="shared" si="20"/>
        <v>350</v>
      </c>
    </row>
    <row r="607" spans="1:14" ht="15">
      <c r="A607" s="159"/>
      <c r="B607" s="143" t="str">
        <f t="shared" si="19"/>
        <v>351.</v>
      </c>
      <c r="C607" s="205" t="s">
        <v>938</v>
      </c>
      <c r="D607" s="162"/>
      <c r="E607" s="163"/>
      <c r="F607" s="159"/>
      <c r="G607" s="164"/>
      <c r="H607" s="204" t="s">
        <v>940</v>
      </c>
      <c r="I607" s="211">
        <v>2009</v>
      </c>
      <c r="J607" s="208">
        <v>0</v>
      </c>
      <c r="K607" s="159"/>
      <c r="L607" s="204" t="s">
        <v>455</v>
      </c>
      <c r="N607" s="141">
        <f t="shared" si="20"/>
        <v>351</v>
      </c>
    </row>
    <row r="608" spans="1:14" ht="15">
      <c r="A608" s="159"/>
      <c r="B608" s="143" t="str">
        <f t="shared" si="19"/>
        <v>352.</v>
      </c>
      <c r="C608" s="205" t="s">
        <v>938</v>
      </c>
      <c r="D608" s="162"/>
      <c r="E608" s="163"/>
      <c r="F608" s="159"/>
      <c r="G608" s="164"/>
      <c r="H608" s="204" t="s">
        <v>940</v>
      </c>
      <c r="I608" s="211">
        <v>2010</v>
      </c>
      <c r="J608" s="208">
        <v>0</v>
      </c>
      <c r="K608" s="159"/>
      <c r="L608" s="204" t="s">
        <v>455</v>
      </c>
      <c r="N608" s="141">
        <f t="shared" si="20"/>
        <v>352</v>
      </c>
    </row>
    <row r="609" spans="1:14" ht="15">
      <c r="A609" s="159"/>
      <c r="B609" s="143" t="str">
        <f t="shared" si="19"/>
        <v>353.</v>
      </c>
      <c r="C609" s="205" t="s">
        <v>938</v>
      </c>
      <c r="D609" s="162"/>
      <c r="E609" s="163"/>
      <c r="F609" s="159"/>
      <c r="G609" s="164"/>
      <c r="H609" s="204" t="s">
        <v>940</v>
      </c>
      <c r="I609" s="211">
        <v>2011</v>
      </c>
      <c r="J609" s="208">
        <v>0</v>
      </c>
      <c r="K609" s="159"/>
      <c r="L609" s="204" t="s">
        <v>455</v>
      </c>
      <c r="N609" s="141">
        <f t="shared" si="20"/>
        <v>353</v>
      </c>
    </row>
    <row r="610" spans="1:14" ht="15">
      <c r="A610" s="159"/>
      <c r="B610" s="143" t="str">
        <f t="shared" si="19"/>
        <v>354.</v>
      </c>
      <c r="C610" s="205" t="s">
        <v>938</v>
      </c>
      <c r="D610" s="162"/>
      <c r="E610" s="163"/>
      <c r="F610" s="159"/>
      <c r="G610" s="164"/>
      <c r="H610" s="204" t="s">
        <v>940</v>
      </c>
      <c r="I610" s="211">
        <v>2009</v>
      </c>
      <c r="J610" s="208">
        <v>0</v>
      </c>
      <c r="K610" s="159"/>
      <c r="L610" s="204" t="s">
        <v>455</v>
      </c>
      <c r="N610" s="141">
        <f t="shared" si="20"/>
        <v>354</v>
      </c>
    </row>
    <row r="611" spans="1:14" ht="15">
      <c r="A611" s="159"/>
      <c r="B611" s="143" t="str">
        <f t="shared" si="19"/>
        <v>355.</v>
      </c>
      <c r="C611" s="205" t="s">
        <v>938</v>
      </c>
      <c r="D611" s="162"/>
      <c r="E611" s="163"/>
      <c r="F611" s="159"/>
      <c r="G611" s="164"/>
      <c r="H611" s="204" t="s">
        <v>940</v>
      </c>
      <c r="I611" s="211">
        <v>2010</v>
      </c>
      <c r="J611" s="208">
        <v>15000</v>
      </c>
      <c r="K611" s="159"/>
      <c r="L611" s="204" t="s">
        <v>455</v>
      </c>
      <c r="N611" s="141">
        <f t="shared" si="20"/>
        <v>355</v>
      </c>
    </row>
    <row r="612" spans="1:14" ht="15">
      <c r="A612" s="159"/>
      <c r="B612" s="143" t="str">
        <f t="shared" si="19"/>
        <v>356.</v>
      </c>
      <c r="C612" s="205" t="s">
        <v>938</v>
      </c>
      <c r="D612" s="162"/>
      <c r="E612" s="163"/>
      <c r="F612" s="159"/>
      <c r="G612" s="164"/>
      <c r="H612" s="204" t="s">
        <v>940</v>
      </c>
      <c r="I612" s="211">
        <v>2009</v>
      </c>
      <c r="J612" s="208">
        <v>0</v>
      </c>
      <c r="K612" s="159"/>
      <c r="L612" s="204" t="s">
        <v>455</v>
      </c>
      <c r="N612" s="141">
        <f t="shared" si="20"/>
        <v>356</v>
      </c>
    </row>
    <row r="613" spans="1:14" ht="15">
      <c r="A613" s="159"/>
      <c r="B613" s="143" t="str">
        <f t="shared" si="19"/>
        <v>357.</v>
      </c>
      <c r="C613" s="205" t="s">
        <v>938</v>
      </c>
      <c r="D613" s="162"/>
      <c r="E613" s="163"/>
      <c r="F613" s="159"/>
      <c r="G613" s="164"/>
      <c r="H613" s="204" t="s">
        <v>940</v>
      </c>
      <c r="I613" s="211">
        <v>2010</v>
      </c>
      <c r="J613" s="208">
        <f>20000*2</f>
        <v>40000</v>
      </c>
      <c r="K613" s="159"/>
      <c r="L613" s="204" t="s">
        <v>455</v>
      </c>
      <c r="N613" s="141">
        <f t="shared" si="20"/>
        <v>357</v>
      </c>
    </row>
    <row r="614" spans="1:14" ht="15">
      <c r="A614" s="159"/>
      <c r="B614" s="143" t="str">
        <f t="shared" si="19"/>
        <v>358.</v>
      </c>
      <c r="C614" s="205" t="s">
        <v>938</v>
      </c>
      <c r="D614" s="162"/>
      <c r="E614" s="163"/>
      <c r="F614" s="159"/>
      <c r="G614" s="164"/>
      <c r="H614" s="204" t="s">
        <v>940</v>
      </c>
      <c r="I614" s="211">
        <v>2011</v>
      </c>
      <c r="J614" s="208">
        <v>0</v>
      </c>
      <c r="K614" s="159"/>
      <c r="L614" s="204" t="s">
        <v>455</v>
      </c>
      <c r="N614" s="141">
        <f t="shared" si="20"/>
        <v>358</v>
      </c>
    </row>
    <row r="615" spans="1:14" ht="15">
      <c r="A615" s="159"/>
      <c r="B615" s="143" t="str">
        <f t="shared" si="19"/>
        <v>359.</v>
      </c>
      <c r="C615" s="205" t="s">
        <v>938</v>
      </c>
      <c r="D615" s="162"/>
      <c r="E615" s="163"/>
      <c r="F615" s="159"/>
      <c r="G615" s="164"/>
      <c r="H615" s="204" t="s">
        <v>940</v>
      </c>
      <c r="I615" s="211">
        <v>2009</v>
      </c>
      <c r="J615" s="208">
        <v>0</v>
      </c>
      <c r="K615" s="159"/>
      <c r="L615" s="204" t="s">
        <v>455</v>
      </c>
      <c r="N615" s="141">
        <f t="shared" si="20"/>
        <v>359</v>
      </c>
    </row>
    <row r="616" spans="1:14" ht="15">
      <c r="A616" s="159"/>
      <c r="B616" s="143" t="str">
        <f t="shared" si="19"/>
        <v>360.</v>
      </c>
      <c r="C616" s="205" t="s">
        <v>938</v>
      </c>
      <c r="D616" s="162"/>
      <c r="E616" s="163"/>
      <c r="F616" s="159"/>
      <c r="G616" s="164"/>
      <c r="H616" s="204" t="s">
        <v>940</v>
      </c>
      <c r="I616" s="211">
        <v>2009</v>
      </c>
      <c r="J616" s="208">
        <v>0</v>
      </c>
      <c r="K616" s="159"/>
      <c r="L616" s="204" t="s">
        <v>455</v>
      </c>
      <c r="N616" s="141">
        <f t="shared" si="20"/>
        <v>360</v>
      </c>
    </row>
    <row r="617" spans="1:14" ht="15">
      <c r="A617" s="159"/>
      <c r="B617" s="143" t="str">
        <f t="shared" si="19"/>
        <v>361.</v>
      </c>
      <c r="C617" s="205" t="s">
        <v>938</v>
      </c>
      <c r="D617" s="162"/>
      <c r="E617" s="163"/>
      <c r="F617" s="159"/>
      <c r="G617" s="164"/>
      <c r="H617" s="204" t="s">
        <v>940</v>
      </c>
      <c r="I617" s="211">
        <v>2009</v>
      </c>
      <c r="J617" s="208">
        <v>0</v>
      </c>
      <c r="K617" s="159"/>
      <c r="L617" s="204" t="s">
        <v>455</v>
      </c>
      <c r="N617" s="141">
        <f t="shared" si="20"/>
        <v>361</v>
      </c>
    </row>
    <row r="618" spans="1:14" ht="15">
      <c r="A618" s="159"/>
      <c r="B618" s="143" t="str">
        <f t="shared" si="19"/>
        <v>362.</v>
      </c>
      <c r="C618" s="205" t="s">
        <v>938</v>
      </c>
      <c r="D618" s="162"/>
      <c r="E618" s="163"/>
      <c r="F618" s="159"/>
      <c r="G618" s="164"/>
      <c r="H618" s="204" t="s">
        <v>940</v>
      </c>
      <c r="I618" s="211">
        <v>2010</v>
      </c>
      <c r="J618" s="208">
        <f>30000*2</f>
        <v>60000</v>
      </c>
      <c r="K618" s="159"/>
      <c r="L618" s="204" t="s">
        <v>455</v>
      </c>
      <c r="N618" s="141">
        <f t="shared" si="20"/>
        <v>362</v>
      </c>
    </row>
    <row r="619" spans="1:14" ht="15">
      <c r="A619" s="159"/>
      <c r="B619" s="143" t="str">
        <f t="shared" si="19"/>
        <v>363.</v>
      </c>
      <c r="C619" s="205" t="s">
        <v>938</v>
      </c>
      <c r="D619" s="162"/>
      <c r="E619" s="163"/>
      <c r="F619" s="159"/>
      <c r="G619" s="164"/>
      <c r="H619" s="204" t="s">
        <v>940</v>
      </c>
      <c r="I619" s="211">
        <v>2010</v>
      </c>
      <c r="J619" s="208">
        <v>26000</v>
      </c>
      <c r="K619" s="159"/>
      <c r="L619" s="204" t="s">
        <v>455</v>
      </c>
      <c r="N619" s="141">
        <f t="shared" si="20"/>
        <v>363</v>
      </c>
    </row>
    <row r="620" spans="1:14" ht="15">
      <c r="A620" s="159"/>
      <c r="B620" s="143" t="str">
        <f t="shared" si="19"/>
        <v>364.</v>
      </c>
      <c r="C620" s="205" t="s">
        <v>938</v>
      </c>
      <c r="D620" s="162"/>
      <c r="E620" s="163"/>
      <c r="F620" s="159"/>
      <c r="G620" s="164"/>
      <c r="H620" s="204" t="s">
        <v>940</v>
      </c>
      <c r="I620" s="211">
        <v>2009</v>
      </c>
      <c r="J620" s="208">
        <v>30000</v>
      </c>
      <c r="K620" s="159"/>
      <c r="L620" s="204" t="s">
        <v>455</v>
      </c>
      <c r="N620" s="141">
        <f t="shared" si="20"/>
        <v>364</v>
      </c>
    </row>
    <row r="621" spans="1:14" ht="15">
      <c r="A621" s="159"/>
      <c r="B621" s="143" t="str">
        <f t="shared" si="19"/>
        <v>365.</v>
      </c>
      <c r="C621" s="205" t="s">
        <v>938</v>
      </c>
      <c r="D621" s="162"/>
      <c r="E621" s="163"/>
      <c r="F621" s="159"/>
      <c r="G621" s="164"/>
      <c r="H621" s="204" t="s">
        <v>940</v>
      </c>
      <c r="I621" s="211">
        <v>2009</v>
      </c>
      <c r="J621" s="208">
        <f>15000*2</f>
        <v>30000</v>
      </c>
      <c r="K621" s="159"/>
      <c r="L621" s="204" t="s">
        <v>455</v>
      </c>
      <c r="N621" s="141">
        <f t="shared" si="20"/>
        <v>365</v>
      </c>
    </row>
    <row r="622" spans="1:14" ht="15">
      <c r="A622" s="159"/>
      <c r="B622" s="143" t="str">
        <f t="shared" si="19"/>
        <v>366.</v>
      </c>
      <c r="C622" s="205" t="s">
        <v>938</v>
      </c>
      <c r="D622" s="162"/>
      <c r="E622" s="163"/>
      <c r="F622" s="159"/>
      <c r="G622" s="164"/>
      <c r="H622" s="204" t="s">
        <v>940</v>
      </c>
      <c r="I622" s="211">
        <v>2009</v>
      </c>
      <c r="J622" s="208">
        <f>15000*2</f>
        <v>30000</v>
      </c>
      <c r="K622" s="159"/>
      <c r="L622" s="204" t="s">
        <v>455</v>
      </c>
      <c r="N622" s="141">
        <f t="shared" si="20"/>
        <v>366</v>
      </c>
    </row>
    <row r="623" spans="1:14" ht="15">
      <c r="A623" s="159"/>
      <c r="B623" s="143" t="str">
        <f t="shared" si="19"/>
        <v>367.</v>
      </c>
      <c r="C623" s="205" t="s">
        <v>938</v>
      </c>
      <c r="D623" s="162"/>
      <c r="E623" s="163"/>
      <c r="F623" s="159"/>
      <c r="G623" s="164"/>
      <c r="H623" s="204" t="s">
        <v>940</v>
      </c>
      <c r="I623" s="211">
        <v>2009</v>
      </c>
      <c r="J623" s="208">
        <v>0</v>
      </c>
      <c r="K623" s="159"/>
      <c r="L623" s="204" t="s">
        <v>455</v>
      </c>
      <c r="N623" s="141">
        <f t="shared" si="20"/>
        <v>367</v>
      </c>
    </row>
    <row r="624" spans="1:14" ht="15">
      <c r="A624" s="159"/>
      <c r="B624" s="143" t="str">
        <f t="shared" si="19"/>
        <v>368.</v>
      </c>
      <c r="C624" s="205" t="s">
        <v>938</v>
      </c>
      <c r="D624" s="162"/>
      <c r="E624" s="163"/>
      <c r="F624" s="159"/>
      <c r="G624" s="164"/>
      <c r="H624" s="204" t="s">
        <v>940</v>
      </c>
      <c r="I624" s="211">
        <v>2014</v>
      </c>
      <c r="J624" s="208">
        <v>0</v>
      </c>
      <c r="K624" s="159"/>
      <c r="L624" s="204" t="s">
        <v>455</v>
      </c>
      <c r="N624" s="141">
        <f t="shared" si="20"/>
        <v>368</v>
      </c>
    </row>
    <row r="625" spans="1:14" ht="15">
      <c r="A625" s="159"/>
      <c r="B625" s="143" t="str">
        <f t="shared" si="19"/>
        <v>369.</v>
      </c>
      <c r="C625" s="205" t="s">
        <v>938</v>
      </c>
      <c r="D625" s="162"/>
      <c r="E625" s="163"/>
      <c r="F625" s="159"/>
      <c r="G625" s="164"/>
      <c r="H625" s="204" t="s">
        <v>940</v>
      </c>
      <c r="I625" s="211">
        <v>2010</v>
      </c>
      <c r="J625" s="208">
        <v>0</v>
      </c>
      <c r="K625" s="159"/>
      <c r="L625" s="204" t="s">
        <v>455</v>
      </c>
      <c r="N625" s="141">
        <f t="shared" si="20"/>
        <v>369</v>
      </c>
    </row>
    <row r="626" spans="1:14" ht="15">
      <c r="A626" s="159"/>
      <c r="B626" s="143" t="str">
        <f t="shared" si="19"/>
        <v>370.</v>
      </c>
      <c r="C626" s="205" t="s">
        <v>938</v>
      </c>
      <c r="D626" s="162"/>
      <c r="E626" s="163"/>
      <c r="F626" s="159"/>
      <c r="G626" s="164"/>
      <c r="H626" s="204" t="s">
        <v>940</v>
      </c>
      <c r="I626" s="211">
        <v>2018</v>
      </c>
      <c r="J626" s="208">
        <v>0</v>
      </c>
      <c r="K626" s="159"/>
      <c r="L626" s="204" t="s">
        <v>455</v>
      </c>
      <c r="N626" s="141">
        <f t="shared" si="20"/>
        <v>370</v>
      </c>
    </row>
    <row r="627" spans="1:14" ht="15">
      <c r="A627" s="159"/>
      <c r="B627" s="143" t="str">
        <f t="shared" si="19"/>
        <v>371.</v>
      </c>
      <c r="C627" s="205" t="s">
        <v>938</v>
      </c>
      <c r="D627" s="162"/>
      <c r="E627" s="163"/>
      <c r="F627" s="159"/>
      <c r="G627" s="164"/>
      <c r="H627" s="204" t="s">
        <v>940</v>
      </c>
      <c r="I627" s="211">
        <v>2010</v>
      </c>
      <c r="J627" s="208">
        <v>0</v>
      </c>
      <c r="K627" s="159"/>
      <c r="L627" s="204" t="s">
        <v>455</v>
      </c>
      <c r="N627" s="141">
        <f t="shared" si="20"/>
        <v>371</v>
      </c>
    </row>
    <row r="628" spans="1:14" ht="15">
      <c r="A628" s="159"/>
      <c r="B628" s="143" t="str">
        <f t="shared" si="19"/>
        <v>372.</v>
      </c>
      <c r="C628" s="205" t="s">
        <v>938</v>
      </c>
      <c r="D628" s="162"/>
      <c r="E628" s="163"/>
      <c r="F628" s="159"/>
      <c r="G628" s="164"/>
      <c r="H628" s="204" t="s">
        <v>940</v>
      </c>
      <c r="I628" s="211">
        <v>2010</v>
      </c>
      <c r="J628" s="208">
        <v>0</v>
      </c>
      <c r="K628" s="159"/>
      <c r="L628" s="204" t="s">
        <v>455</v>
      </c>
      <c r="N628" s="141">
        <f t="shared" si="20"/>
        <v>372</v>
      </c>
    </row>
    <row r="629" spans="1:14" ht="15">
      <c r="A629" s="159"/>
      <c r="B629" s="143" t="str">
        <f t="shared" si="19"/>
        <v>373.</v>
      </c>
      <c r="C629" s="205" t="s">
        <v>938</v>
      </c>
      <c r="D629" s="162"/>
      <c r="E629" s="163"/>
      <c r="F629" s="159"/>
      <c r="G629" s="164"/>
      <c r="H629" s="204" t="s">
        <v>940</v>
      </c>
      <c r="I629" s="211">
        <v>2010</v>
      </c>
      <c r="J629" s="208">
        <f>28000*2</f>
        <v>56000</v>
      </c>
      <c r="K629" s="159"/>
      <c r="L629" s="204" t="s">
        <v>455</v>
      </c>
      <c r="N629" s="141">
        <f t="shared" si="20"/>
        <v>373</v>
      </c>
    </row>
    <row r="630" spans="1:14" ht="15">
      <c r="A630" s="159"/>
      <c r="B630" s="143" t="str">
        <f t="shared" si="19"/>
        <v>374.</v>
      </c>
      <c r="C630" s="205" t="s">
        <v>938</v>
      </c>
      <c r="D630" s="162"/>
      <c r="E630" s="163"/>
      <c r="F630" s="159"/>
      <c r="G630" s="164"/>
      <c r="H630" s="204" t="s">
        <v>940</v>
      </c>
      <c r="I630" s="211">
        <v>2009</v>
      </c>
      <c r="J630" s="208">
        <f>30000*2</f>
        <v>60000</v>
      </c>
      <c r="K630" s="159"/>
      <c r="L630" s="204" t="s">
        <v>455</v>
      </c>
      <c r="N630" s="141">
        <f t="shared" si="20"/>
        <v>374</v>
      </c>
    </row>
    <row r="631" spans="1:14" ht="15">
      <c r="A631" s="159"/>
      <c r="B631" s="143" t="str">
        <f t="shared" si="19"/>
        <v>375.</v>
      </c>
      <c r="C631" s="205" t="s">
        <v>938</v>
      </c>
      <c r="D631" s="162"/>
      <c r="E631" s="163"/>
      <c r="F631" s="159"/>
      <c r="G631" s="164"/>
      <c r="H631" s="204" t="s">
        <v>940</v>
      </c>
      <c r="I631" s="211">
        <v>2009</v>
      </c>
      <c r="J631" s="208">
        <v>0</v>
      </c>
      <c r="K631" s="159"/>
      <c r="L631" s="204" t="s">
        <v>455</v>
      </c>
      <c r="N631" s="141">
        <f t="shared" si="20"/>
        <v>375</v>
      </c>
    </row>
    <row r="632" spans="1:14" ht="15">
      <c r="A632" s="159"/>
      <c r="B632" s="143" t="str">
        <f t="shared" si="19"/>
        <v>376.</v>
      </c>
      <c r="C632" s="205" t="s">
        <v>938</v>
      </c>
      <c r="D632" s="162"/>
      <c r="E632" s="163"/>
      <c r="F632" s="159"/>
      <c r="G632" s="164"/>
      <c r="H632" s="204" t="s">
        <v>940</v>
      </c>
      <c r="I632" s="211">
        <v>2009</v>
      </c>
      <c r="J632" s="208">
        <v>0</v>
      </c>
      <c r="K632" s="159"/>
      <c r="L632" s="204" t="s">
        <v>455</v>
      </c>
      <c r="N632" s="141">
        <f t="shared" si="20"/>
        <v>376</v>
      </c>
    </row>
    <row r="633" spans="1:14" ht="15">
      <c r="A633" s="159"/>
      <c r="B633" s="143" t="str">
        <f t="shared" si="19"/>
        <v>377.</v>
      </c>
      <c r="C633" s="205" t="s">
        <v>938</v>
      </c>
      <c r="D633" s="162"/>
      <c r="E633" s="163"/>
      <c r="F633" s="159"/>
      <c r="G633" s="164"/>
      <c r="H633" s="204" t="s">
        <v>940</v>
      </c>
      <c r="I633" s="211">
        <v>2009</v>
      </c>
      <c r="J633" s="208">
        <f>15000*2</f>
        <v>30000</v>
      </c>
      <c r="K633" s="159"/>
      <c r="L633" s="204" t="s">
        <v>455</v>
      </c>
      <c r="N633" s="141">
        <f t="shared" si="20"/>
        <v>377</v>
      </c>
    </row>
    <row r="634" spans="1:14" ht="15">
      <c r="A634" s="159"/>
      <c r="B634" s="143" t="str">
        <f t="shared" si="19"/>
        <v>378.</v>
      </c>
      <c r="C634" s="205" t="s">
        <v>938</v>
      </c>
      <c r="D634" s="162"/>
      <c r="E634" s="163"/>
      <c r="F634" s="159"/>
      <c r="G634" s="164"/>
      <c r="H634" s="204" t="s">
        <v>940</v>
      </c>
      <c r="I634" s="211">
        <v>2009</v>
      </c>
      <c r="J634" s="208">
        <v>0</v>
      </c>
      <c r="K634" s="159"/>
      <c r="L634" s="204" t="s">
        <v>455</v>
      </c>
      <c r="N634" s="141">
        <f t="shared" si="20"/>
        <v>378</v>
      </c>
    </row>
    <row r="635" spans="1:14" ht="15">
      <c r="A635" s="159"/>
      <c r="B635" s="143" t="str">
        <f t="shared" si="19"/>
        <v>379.</v>
      </c>
      <c r="C635" s="205" t="s">
        <v>938</v>
      </c>
      <c r="D635" s="162"/>
      <c r="E635" s="163"/>
      <c r="F635" s="159"/>
      <c r="G635" s="164"/>
      <c r="H635" s="204" t="s">
        <v>940</v>
      </c>
      <c r="I635" s="211">
        <v>2009</v>
      </c>
      <c r="J635" s="208">
        <v>16000</v>
      </c>
      <c r="K635" s="159"/>
      <c r="L635" s="204" t="s">
        <v>455</v>
      </c>
      <c r="N635" s="141">
        <f t="shared" si="20"/>
        <v>379</v>
      </c>
    </row>
    <row r="636" spans="1:14" ht="15">
      <c r="A636" s="159"/>
      <c r="B636" s="143" t="str">
        <f t="shared" si="19"/>
        <v>380.</v>
      </c>
      <c r="C636" s="205" t="s">
        <v>938</v>
      </c>
      <c r="D636" s="162"/>
      <c r="E636" s="163"/>
      <c r="F636" s="159"/>
      <c r="G636" s="164"/>
      <c r="H636" s="204" t="s">
        <v>940</v>
      </c>
      <c r="I636" s="211">
        <v>2010</v>
      </c>
      <c r="J636" s="208">
        <f>30000*2</f>
        <v>60000</v>
      </c>
      <c r="K636" s="159"/>
      <c r="L636" s="204" t="s">
        <v>455</v>
      </c>
      <c r="N636" s="141">
        <f t="shared" si="20"/>
        <v>380</v>
      </c>
    </row>
    <row r="637" spans="1:14" ht="15">
      <c r="A637" s="159"/>
      <c r="B637" s="143" t="str">
        <f t="shared" si="19"/>
        <v>381.</v>
      </c>
      <c r="C637" s="205" t="s">
        <v>938</v>
      </c>
      <c r="D637" s="162"/>
      <c r="E637" s="163"/>
      <c r="F637" s="159"/>
      <c r="G637" s="164"/>
      <c r="H637" s="204" t="s">
        <v>940</v>
      </c>
      <c r="I637" s="211">
        <v>2009</v>
      </c>
      <c r="J637" s="208">
        <v>0</v>
      </c>
      <c r="K637" s="159"/>
      <c r="L637" s="204" t="s">
        <v>455</v>
      </c>
      <c r="N637" s="141">
        <f t="shared" si="20"/>
        <v>381</v>
      </c>
    </row>
    <row r="638" spans="1:14" ht="15">
      <c r="A638" s="159"/>
      <c r="B638" s="143" t="str">
        <f t="shared" si="19"/>
        <v>382.</v>
      </c>
      <c r="C638" s="205" t="s">
        <v>938</v>
      </c>
      <c r="D638" s="162"/>
      <c r="E638" s="163"/>
      <c r="F638" s="159"/>
      <c r="G638" s="164"/>
      <c r="H638" s="204" t="s">
        <v>940</v>
      </c>
      <c r="I638" s="211">
        <v>2009</v>
      </c>
      <c r="J638" s="208">
        <v>0</v>
      </c>
      <c r="K638" s="159"/>
      <c r="L638" s="204" t="s">
        <v>455</v>
      </c>
      <c r="N638" s="141">
        <f t="shared" si="20"/>
        <v>382</v>
      </c>
    </row>
    <row r="639" spans="1:14" ht="15">
      <c r="A639" s="159"/>
      <c r="B639" s="143" t="str">
        <f t="shared" si="19"/>
        <v>383.</v>
      </c>
      <c r="C639" s="205" t="s">
        <v>938</v>
      </c>
      <c r="D639" s="162"/>
      <c r="E639" s="163"/>
      <c r="F639" s="159"/>
      <c r="G639" s="164"/>
      <c r="H639" s="204" t="s">
        <v>940</v>
      </c>
      <c r="I639" s="211">
        <v>2010</v>
      </c>
      <c r="J639" s="208">
        <v>15000</v>
      </c>
      <c r="K639" s="159"/>
      <c r="L639" s="204" t="s">
        <v>455</v>
      </c>
      <c r="N639" s="141">
        <f t="shared" si="20"/>
        <v>383</v>
      </c>
    </row>
    <row r="640" spans="1:14" ht="15">
      <c r="A640" s="159"/>
      <c r="B640" s="143" t="str">
        <f t="shared" si="19"/>
        <v>384.</v>
      </c>
      <c r="C640" s="205" t="s">
        <v>938</v>
      </c>
      <c r="D640" s="162"/>
      <c r="E640" s="163"/>
      <c r="F640" s="159"/>
      <c r="G640" s="164"/>
      <c r="H640" s="204" t="s">
        <v>940</v>
      </c>
      <c r="I640" s="211">
        <v>2009</v>
      </c>
      <c r="J640" s="208">
        <v>25000</v>
      </c>
      <c r="K640" s="159"/>
      <c r="L640" s="204" t="s">
        <v>455</v>
      </c>
      <c r="N640" s="141">
        <f t="shared" si="20"/>
        <v>384</v>
      </c>
    </row>
    <row r="641" spans="1:14" ht="15">
      <c r="A641" s="159"/>
      <c r="B641" s="143" t="str">
        <f t="shared" ref="B641:B704" si="21">N641&amp;"."</f>
        <v>385.</v>
      </c>
      <c r="C641" s="205" t="s">
        <v>938</v>
      </c>
      <c r="D641" s="162"/>
      <c r="E641" s="163"/>
      <c r="F641" s="159"/>
      <c r="G641" s="164"/>
      <c r="H641" s="204" t="s">
        <v>940</v>
      </c>
      <c r="I641" s="211">
        <v>2010</v>
      </c>
      <c r="J641" s="208">
        <v>0</v>
      </c>
      <c r="K641" s="159"/>
      <c r="L641" s="204" t="s">
        <v>455</v>
      </c>
      <c r="N641" s="141">
        <f t="shared" si="20"/>
        <v>385</v>
      </c>
    </row>
    <row r="642" spans="1:14" ht="15">
      <c r="A642" s="159"/>
      <c r="B642" s="143" t="str">
        <f t="shared" si="21"/>
        <v>386.</v>
      </c>
      <c r="C642" s="205" t="s">
        <v>938</v>
      </c>
      <c r="D642" s="162"/>
      <c r="E642" s="163"/>
      <c r="F642" s="159"/>
      <c r="G642" s="164"/>
      <c r="H642" s="204" t="s">
        <v>940</v>
      </c>
      <c r="I642" s="211">
        <v>2011</v>
      </c>
      <c r="J642" s="208">
        <v>0</v>
      </c>
      <c r="K642" s="159"/>
      <c r="L642" s="204" t="s">
        <v>455</v>
      </c>
      <c r="N642" s="141">
        <f t="shared" si="20"/>
        <v>386</v>
      </c>
    </row>
    <row r="643" spans="1:14" ht="15">
      <c r="A643" s="159"/>
      <c r="B643" s="143" t="str">
        <f t="shared" si="21"/>
        <v>387.</v>
      </c>
      <c r="C643" s="205" t="s">
        <v>938</v>
      </c>
      <c r="D643" s="162"/>
      <c r="E643" s="163"/>
      <c r="F643" s="159"/>
      <c r="G643" s="164"/>
      <c r="H643" s="204" t="s">
        <v>940</v>
      </c>
      <c r="I643" s="211">
        <v>2010</v>
      </c>
      <c r="J643" s="208">
        <f>24000*2</f>
        <v>48000</v>
      </c>
      <c r="K643" s="159"/>
      <c r="L643" s="204" t="s">
        <v>455</v>
      </c>
      <c r="N643" s="141">
        <f t="shared" ref="N643:N706" si="22">N642+1</f>
        <v>387</v>
      </c>
    </row>
    <row r="644" spans="1:14" ht="15">
      <c r="A644" s="159"/>
      <c r="B644" s="143" t="str">
        <f t="shared" si="21"/>
        <v>388.</v>
      </c>
      <c r="C644" s="205" t="s">
        <v>938</v>
      </c>
      <c r="D644" s="162"/>
      <c r="E644" s="163"/>
      <c r="F644" s="159"/>
      <c r="G644" s="164"/>
      <c r="H644" s="204" t="s">
        <v>940</v>
      </c>
      <c r="I644" s="211">
        <v>2009</v>
      </c>
      <c r="J644" s="208">
        <f>15000*2</f>
        <v>30000</v>
      </c>
      <c r="K644" s="159"/>
      <c r="L644" s="204" t="s">
        <v>455</v>
      </c>
      <c r="N644" s="141">
        <f t="shared" si="22"/>
        <v>388</v>
      </c>
    </row>
    <row r="645" spans="1:14" ht="15">
      <c r="A645" s="159"/>
      <c r="B645" s="143" t="str">
        <f t="shared" si="21"/>
        <v>389.</v>
      </c>
      <c r="C645" s="205" t="s">
        <v>938</v>
      </c>
      <c r="D645" s="162"/>
      <c r="E645" s="163"/>
      <c r="F645" s="159"/>
      <c r="G645" s="164"/>
      <c r="H645" s="204" t="s">
        <v>940</v>
      </c>
      <c r="I645" s="211">
        <v>2009</v>
      </c>
      <c r="J645" s="208">
        <f>15000*2</f>
        <v>30000</v>
      </c>
      <c r="K645" s="159"/>
      <c r="L645" s="204" t="s">
        <v>455</v>
      </c>
      <c r="N645" s="141">
        <f t="shared" si="22"/>
        <v>389</v>
      </c>
    </row>
    <row r="646" spans="1:14" ht="15">
      <c r="A646" s="159"/>
      <c r="B646" s="143" t="str">
        <f t="shared" si="21"/>
        <v>390.</v>
      </c>
      <c r="C646" s="205" t="s">
        <v>938</v>
      </c>
      <c r="D646" s="162"/>
      <c r="E646" s="163"/>
      <c r="F646" s="159"/>
      <c r="G646" s="164"/>
      <c r="H646" s="204" t="s">
        <v>940</v>
      </c>
      <c r="I646" s="211">
        <v>2010</v>
      </c>
      <c r="J646" s="208">
        <f>15000*2</f>
        <v>30000</v>
      </c>
      <c r="K646" s="159"/>
      <c r="L646" s="204" t="s">
        <v>455</v>
      </c>
      <c r="N646" s="141">
        <f t="shared" si="22"/>
        <v>390</v>
      </c>
    </row>
    <row r="647" spans="1:14" ht="15">
      <c r="A647" s="159"/>
      <c r="B647" s="143" t="str">
        <f t="shared" si="21"/>
        <v>391.</v>
      </c>
      <c r="C647" s="205" t="s">
        <v>938</v>
      </c>
      <c r="D647" s="162"/>
      <c r="E647" s="163"/>
      <c r="F647" s="159"/>
      <c r="G647" s="164"/>
      <c r="H647" s="204" t="s">
        <v>940</v>
      </c>
      <c r="I647" s="211">
        <v>2010</v>
      </c>
      <c r="J647" s="208">
        <f>15000*2</f>
        <v>30000</v>
      </c>
      <c r="K647" s="159"/>
      <c r="L647" s="204" t="s">
        <v>455</v>
      </c>
      <c r="N647" s="141">
        <f t="shared" si="22"/>
        <v>391</v>
      </c>
    </row>
    <row r="648" spans="1:14" ht="15">
      <c r="A648" s="159"/>
      <c r="B648" s="143" t="str">
        <f t="shared" si="21"/>
        <v>392.</v>
      </c>
      <c r="C648" s="205" t="s">
        <v>938</v>
      </c>
      <c r="D648" s="162"/>
      <c r="E648" s="163"/>
      <c r="F648" s="159"/>
      <c r="G648" s="164"/>
      <c r="H648" s="204" t="s">
        <v>940</v>
      </c>
      <c r="I648" s="211">
        <v>2011</v>
      </c>
      <c r="J648" s="208">
        <v>0</v>
      </c>
      <c r="K648" s="159"/>
      <c r="L648" s="204" t="s">
        <v>455</v>
      </c>
      <c r="N648" s="141">
        <f t="shared" si="22"/>
        <v>392</v>
      </c>
    </row>
    <row r="649" spans="1:14" ht="15">
      <c r="A649" s="159"/>
      <c r="B649" s="143" t="str">
        <f t="shared" si="21"/>
        <v>393.</v>
      </c>
      <c r="C649" s="205" t="s">
        <v>938</v>
      </c>
      <c r="D649" s="162"/>
      <c r="E649" s="163"/>
      <c r="F649" s="159"/>
      <c r="G649" s="164"/>
      <c r="H649" s="204" t="s">
        <v>940</v>
      </c>
      <c r="I649" s="211">
        <v>2009</v>
      </c>
      <c r="J649" s="208">
        <v>0</v>
      </c>
      <c r="K649" s="159"/>
      <c r="L649" s="204" t="s">
        <v>455</v>
      </c>
      <c r="N649" s="141">
        <f t="shared" si="22"/>
        <v>393</v>
      </c>
    </row>
    <row r="650" spans="1:14" ht="15">
      <c r="A650" s="159"/>
      <c r="B650" s="143" t="str">
        <f t="shared" si="21"/>
        <v>394.</v>
      </c>
      <c r="C650" s="205" t="s">
        <v>938</v>
      </c>
      <c r="D650" s="162"/>
      <c r="E650" s="163"/>
      <c r="F650" s="159"/>
      <c r="G650" s="164"/>
      <c r="H650" s="204" t="s">
        <v>940</v>
      </c>
      <c r="I650" s="211">
        <v>2009</v>
      </c>
      <c r="J650" s="208">
        <v>0</v>
      </c>
      <c r="K650" s="159"/>
      <c r="L650" s="204" t="s">
        <v>455</v>
      </c>
      <c r="N650" s="141">
        <f t="shared" si="22"/>
        <v>394</v>
      </c>
    </row>
    <row r="651" spans="1:14" ht="15">
      <c r="A651" s="159"/>
      <c r="B651" s="143" t="str">
        <f t="shared" si="21"/>
        <v>395.</v>
      </c>
      <c r="C651" s="205" t="s">
        <v>938</v>
      </c>
      <c r="D651" s="162"/>
      <c r="E651" s="163"/>
      <c r="F651" s="159"/>
      <c r="G651" s="164"/>
      <c r="H651" s="204" t="s">
        <v>940</v>
      </c>
      <c r="I651" s="211">
        <v>2010</v>
      </c>
      <c r="J651" s="208">
        <f>24000*2</f>
        <v>48000</v>
      </c>
      <c r="K651" s="159"/>
      <c r="L651" s="204" t="s">
        <v>455</v>
      </c>
      <c r="N651" s="141">
        <f t="shared" si="22"/>
        <v>395</v>
      </c>
    </row>
    <row r="652" spans="1:14" ht="15">
      <c r="A652" s="159"/>
      <c r="B652" s="143" t="str">
        <f t="shared" si="21"/>
        <v>396.</v>
      </c>
      <c r="C652" s="205" t="s">
        <v>938</v>
      </c>
      <c r="D652" s="162"/>
      <c r="E652" s="163"/>
      <c r="F652" s="159"/>
      <c r="G652" s="164"/>
      <c r="H652" s="204" t="s">
        <v>940</v>
      </c>
      <c r="I652" s="211">
        <v>2010</v>
      </c>
      <c r="J652" s="208">
        <f>13000*2</f>
        <v>26000</v>
      </c>
      <c r="K652" s="159"/>
      <c r="L652" s="204" t="s">
        <v>455</v>
      </c>
      <c r="N652" s="141">
        <f t="shared" si="22"/>
        <v>396</v>
      </c>
    </row>
    <row r="653" spans="1:14" ht="15">
      <c r="A653" s="159"/>
      <c r="B653" s="143" t="str">
        <f t="shared" si="21"/>
        <v>397.</v>
      </c>
      <c r="C653" s="205" t="s">
        <v>938</v>
      </c>
      <c r="D653" s="162"/>
      <c r="E653" s="163"/>
      <c r="F653" s="159"/>
      <c r="G653" s="164"/>
      <c r="H653" s="204" t="s">
        <v>940</v>
      </c>
      <c r="I653" s="211">
        <v>2010</v>
      </c>
      <c r="J653" s="208">
        <f>24000*2</f>
        <v>48000</v>
      </c>
      <c r="K653" s="159"/>
      <c r="L653" s="204" t="s">
        <v>455</v>
      </c>
      <c r="N653" s="141">
        <f t="shared" si="22"/>
        <v>397</v>
      </c>
    </row>
    <row r="654" spans="1:14" ht="15">
      <c r="A654" s="159"/>
      <c r="B654" s="143" t="str">
        <f t="shared" si="21"/>
        <v>398.</v>
      </c>
      <c r="C654" s="205" t="s">
        <v>938</v>
      </c>
      <c r="D654" s="162"/>
      <c r="E654" s="163"/>
      <c r="F654" s="159"/>
      <c r="G654" s="164"/>
      <c r="H654" s="204" t="s">
        <v>940</v>
      </c>
      <c r="I654" s="211" t="s">
        <v>53</v>
      </c>
      <c r="J654" s="208">
        <v>0</v>
      </c>
      <c r="K654" s="159"/>
      <c r="L654" s="204" t="s">
        <v>942</v>
      </c>
      <c r="N654" s="141">
        <f t="shared" si="22"/>
        <v>398</v>
      </c>
    </row>
    <row r="655" spans="1:14" ht="15">
      <c r="A655" s="159"/>
      <c r="B655" s="143" t="str">
        <f t="shared" si="21"/>
        <v>399.</v>
      </c>
      <c r="C655" s="205" t="s">
        <v>938</v>
      </c>
      <c r="D655" s="162"/>
      <c r="E655" s="163"/>
      <c r="F655" s="159"/>
      <c r="G655" s="164"/>
      <c r="H655" s="204" t="s">
        <v>940</v>
      </c>
      <c r="I655" s="211">
        <v>2005</v>
      </c>
      <c r="J655" s="208">
        <v>0</v>
      </c>
      <c r="K655" s="159"/>
      <c r="L655" s="204" t="s">
        <v>455</v>
      </c>
      <c r="N655" s="141">
        <f t="shared" si="22"/>
        <v>399</v>
      </c>
    </row>
    <row r="656" spans="1:14" ht="15">
      <c r="A656" s="159"/>
      <c r="B656" s="143" t="str">
        <f t="shared" si="21"/>
        <v>400.</v>
      </c>
      <c r="C656" s="205" t="s">
        <v>938</v>
      </c>
      <c r="D656" s="162"/>
      <c r="E656" s="163"/>
      <c r="F656" s="159"/>
      <c r="G656" s="164"/>
      <c r="H656" s="204" t="s">
        <v>940</v>
      </c>
      <c r="I656" s="211">
        <v>2018</v>
      </c>
      <c r="J656" s="208">
        <v>0</v>
      </c>
      <c r="K656" s="159"/>
      <c r="L656" s="204" t="s">
        <v>942</v>
      </c>
      <c r="N656" s="141">
        <f t="shared" si="22"/>
        <v>400</v>
      </c>
    </row>
    <row r="657" spans="1:14" ht="15">
      <c r="A657" s="159"/>
      <c r="B657" s="143" t="str">
        <f t="shared" si="21"/>
        <v>401.</v>
      </c>
      <c r="C657" s="205" t="s">
        <v>938</v>
      </c>
      <c r="D657" s="162"/>
      <c r="E657" s="163"/>
      <c r="F657" s="159"/>
      <c r="G657" s="164"/>
      <c r="H657" s="204" t="s">
        <v>940</v>
      </c>
      <c r="I657" s="211" t="s">
        <v>53</v>
      </c>
      <c r="J657" s="208">
        <v>0</v>
      </c>
      <c r="K657" s="159"/>
      <c r="L657" s="204" t="s">
        <v>942</v>
      </c>
      <c r="N657" s="141">
        <f t="shared" si="22"/>
        <v>401</v>
      </c>
    </row>
    <row r="658" spans="1:14" ht="15">
      <c r="A658" s="159"/>
      <c r="B658" s="143" t="str">
        <f t="shared" si="21"/>
        <v>402.</v>
      </c>
      <c r="C658" s="205" t="s">
        <v>938</v>
      </c>
      <c r="D658" s="162"/>
      <c r="E658" s="163"/>
      <c r="F658" s="159"/>
      <c r="G658" s="164"/>
      <c r="H658" s="204" t="s">
        <v>940</v>
      </c>
      <c r="I658" s="211" t="s">
        <v>53</v>
      </c>
      <c r="J658" s="208">
        <v>0</v>
      </c>
      <c r="K658" s="159"/>
      <c r="L658" s="204" t="s">
        <v>942</v>
      </c>
      <c r="N658" s="141">
        <f t="shared" si="22"/>
        <v>402</v>
      </c>
    </row>
    <row r="659" spans="1:14" ht="15">
      <c r="A659" s="159"/>
      <c r="B659" s="143" t="str">
        <f t="shared" si="21"/>
        <v>403.</v>
      </c>
      <c r="C659" s="205" t="s">
        <v>938</v>
      </c>
      <c r="D659" s="162"/>
      <c r="E659" s="163"/>
      <c r="F659" s="159"/>
      <c r="G659" s="164"/>
      <c r="H659" s="204" t="s">
        <v>940</v>
      </c>
      <c r="I659" s="211">
        <v>2013</v>
      </c>
      <c r="J659" s="208">
        <v>0</v>
      </c>
      <c r="K659" s="159"/>
      <c r="L659" s="204" t="s">
        <v>942</v>
      </c>
      <c r="N659" s="141">
        <f t="shared" si="22"/>
        <v>403</v>
      </c>
    </row>
    <row r="660" spans="1:14" ht="15">
      <c r="A660" s="159"/>
      <c r="B660" s="143" t="str">
        <f t="shared" si="21"/>
        <v>404.</v>
      </c>
      <c r="C660" s="205" t="s">
        <v>938</v>
      </c>
      <c r="D660" s="162"/>
      <c r="E660" s="163"/>
      <c r="F660" s="159"/>
      <c r="G660" s="164"/>
      <c r="H660" s="204" t="s">
        <v>940</v>
      </c>
      <c r="I660" s="211">
        <v>2019</v>
      </c>
      <c r="J660" s="208">
        <v>0</v>
      </c>
      <c r="K660" s="159"/>
      <c r="L660" s="204" t="s">
        <v>455</v>
      </c>
      <c r="N660" s="141">
        <f t="shared" si="22"/>
        <v>404</v>
      </c>
    </row>
    <row r="661" spans="1:14" ht="15">
      <c r="A661" s="159"/>
      <c r="B661" s="143" t="str">
        <f t="shared" si="21"/>
        <v>405.</v>
      </c>
      <c r="C661" s="205" t="s">
        <v>938</v>
      </c>
      <c r="D661" s="162"/>
      <c r="E661" s="163"/>
      <c r="F661" s="159"/>
      <c r="G661" s="164"/>
      <c r="H661" s="204" t="s">
        <v>940</v>
      </c>
      <c r="I661" s="211" t="s">
        <v>53</v>
      </c>
      <c r="J661" s="208">
        <v>0</v>
      </c>
      <c r="K661" s="159"/>
      <c r="L661" s="204" t="s">
        <v>942</v>
      </c>
      <c r="N661" s="141">
        <f t="shared" si="22"/>
        <v>405</v>
      </c>
    </row>
    <row r="662" spans="1:14" ht="15">
      <c r="A662" s="159"/>
      <c r="B662" s="143" t="str">
        <f t="shared" si="21"/>
        <v>406.</v>
      </c>
      <c r="C662" s="205" t="s">
        <v>938</v>
      </c>
      <c r="D662" s="162"/>
      <c r="E662" s="163"/>
      <c r="F662" s="159"/>
      <c r="G662" s="164"/>
      <c r="H662" s="204" t="s">
        <v>940</v>
      </c>
      <c r="I662" s="211">
        <v>2013</v>
      </c>
      <c r="J662" s="208">
        <v>0</v>
      </c>
      <c r="K662" s="159"/>
      <c r="L662" s="204" t="s">
        <v>942</v>
      </c>
      <c r="N662" s="141">
        <f t="shared" si="22"/>
        <v>406</v>
      </c>
    </row>
    <row r="663" spans="1:14" ht="15">
      <c r="A663" s="159"/>
      <c r="B663" s="143" t="str">
        <f t="shared" si="21"/>
        <v>407.</v>
      </c>
      <c r="C663" s="205" t="s">
        <v>938</v>
      </c>
      <c r="D663" s="162"/>
      <c r="E663" s="163"/>
      <c r="F663" s="159"/>
      <c r="G663" s="164"/>
      <c r="H663" s="204" t="s">
        <v>940</v>
      </c>
      <c r="I663" s="211">
        <v>2013</v>
      </c>
      <c r="J663" s="208">
        <v>0</v>
      </c>
      <c r="K663" s="159"/>
      <c r="L663" s="204" t="s">
        <v>942</v>
      </c>
      <c r="N663" s="141">
        <f t="shared" si="22"/>
        <v>407</v>
      </c>
    </row>
    <row r="664" spans="1:14" ht="15">
      <c r="A664" s="159"/>
      <c r="B664" s="143" t="str">
        <f t="shared" si="21"/>
        <v>408.</v>
      </c>
      <c r="C664" s="205" t="s">
        <v>938</v>
      </c>
      <c r="D664" s="162"/>
      <c r="E664" s="163"/>
      <c r="F664" s="159"/>
      <c r="G664" s="164"/>
      <c r="H664" s="204" t="s">
        <v>940</v>
      </c>
      <c r="I664" s="211">
        <v>2018</v>
      </c>
      <c r="J664" s="208">
        <v>0</v>
      </c>
      <c r="K664" s="159"/>
      <c r="L664" s="204" t="s">
        <v>942</v>
      </c>
      <c r="N664" s="141">
        <f t="shared" si="22"/>
        <v>408</v>
      </c>
    </row>
    <row r="665" spans="1:14" ht="15">
      <c r="A665" s="159"/>
      <c r="B665" s="143" t="str">
        <f t="shared" si="21"/>
        <v>409.</v>
      </c>
      <c r="C665" s="205" t="s">
        <v>938</v>
      </c>
      <c r="D665" s="162"/>
      <c r="E665" s="163"/>
      <c r="F665" s="159"/>
      <c r="G665" s="164"/>
      <c r="H665" s="204" t="s">
        <v>940</v>
      </c>
      <c r="I665" s="211">
        <v>2013</v>
      </c>
      <c r="J665" s="208">
        <v>0</v>
      </c>
      <c r="K665" s="159"/>
      <c r="L665" s="204" t="s">
        <v>942</v>
      </c>
      <c r="N665" s="141">
        <f t="shared" si="22"/>
        <v>409</v>
      </c>
    </row>
    <row r="666" spans="1:14" ht="15">
      <c r="A666" s="159"/>
      <c r="B666" s="143" t="str">
        <f t="shared" si="21"/>
        <v>410.</v>
      </c>
      <c r="C666" s="205" t="s">
        <v>938</v>
      </c>
      <c r="D666" s="162"/>
      <c r="E666" s="163"/>
      <c r="F666" s="159"/>
      <c r="G666" s="164"/>
      <c r="H666" s="204" t="s">
        <v>940</v>
      </c>
      <c r="I666" s="211">
        <v>2014</v>
      </c>
      <c r="J666" s="208">
        <v>0</v>
      </c>
      <c r="K666" s="159"/>
      <c r="L666" s="204" t="s">
        <v>942</v>
      </c>
      <c r="N666" s="141">
        <f t="shared" si="22"/>
        <v>410</v>
      </c>
    </row>
    <row r="667" spans="1:14" ht="15">
      <c r="A667" s="159"/>
      <c r="B667" s="143" t="str">
        <f t="shared" si="21"/>
        <v>411.</v>
      </c>
      <c r="C667" s="205" t="s">
        <v>938</v>
      </c>
      <c r="D667" s="162"/>
      <c r="E667" s="163"/>
      <c r="F667" s="159"/>
      <c r="G667" s="164"/>
      <c r="H667" s="204" t="s">
        <v>940</v>
      </c>
      <c r="I667" s="211">
        <v>2023</v>
      </c>
      <c r="J667" s="208">
        <v>0</v>
      </c>
      <c r="K667" s="159"/>
      <c r="L667" s="204" t="s">
        <v>942</v>
      </c>
      <c r="N667" s="141">
        <f t="shared" si="22"/>
        <v>411</v>
      </c>
    </row>
    <row r="668" spans="1:14" ht="15">
      <c r="A668" s="159"/>
      <c r="B668" s="143" t="str">
        <f t="shared" si="21"/>
        <v>412.</v>
      </c>
      <c r="C668" s="205" t="s">
        <v>938</v>
      </c>
      <c r="D668" s="162"/>
      <c r="E668" s="163"/>
      <c r="F668" s="159"/>
      <c r="G668" s="164"/>
      <c r="H668" s="204" t="s">
        <v>940</v>
      </c>
      <c r="I668" s="211">
        <v>2008</v>
      </c>
      <c r="J668" s="208">
        <v>0</v>
      </c>
      <c r="K668" s="159"/>
      <c r="L668" s="204" t="s">
        <v>455</v>
      </c>
      <c r="N668" s="141">
        <f t="shared" si="22"/>
        <v>412</v>
      </c>
    </row>
    <row r="669" spans="1:14" ht="15">
      <c r="A669" s="159"/>
      <c r="B669" s="143" t="str">
        <f t="shared" si="21"/>
        <v>413.</v>
      </c>
      <c r="C669" s="205" t="s">
        <v>938</v>
      </c>
      <c r="D669" s="162"/>
      <c r="E669" s="163"/>
      <c r="F669" s="159"/>
      <c r="G669" s="164"/>
      <c r="H669" s="204" t="s">
        <v>940</v>
      </c>
      <c r="I669" s="211">
        <v>2015</v>
      </c>
      <c r="J669" s="208">
        <v>0</v>
      </c>
      <c r="K669" s="159"/>
      <c r="L669" s="204" t="s">
        <v>942</v>
      </c>
      <c r="N669" s="141">
        <f t="shared" si="22"/>
        <v>413</v>
      </c>
    </row>
    <row r="670" spans="1:14" ht="15">
      <c r="A670" s="159"/>
      <c r="B670" s="143" t="str">
        <f t="shared" si="21"/>
        <v>414.</v>
      </c>
      <c r="C670" s="205" t="s">
        <v>938</v>
      </c>
      <c r="D670" s="162"/>
      <c r="E670" s="163"/>
      <c r="F670" s="159"/>
      <c r="G670" s="164"/>
      <c r="H670" s="204" t="s">
        <v>940</v>
      </c>
      <c r="I670" s="211">
        <v>2014</v>
      </c>
      <c r="J670" s="208">
        <v>0</v>
      </c>
      <c r="K670" s="159"/>
      <c r="L670" s="204" t="s">
        <v>942</v>
      </c>
      <c r="N670" s="141">
        <f t="shared" si="22"/>
        <v>414</v>
      </c>
    </row>
    <row r="671" spans="1:14" ht="15">
      <c r="A671" s="159"/>
      <c r="B671" s="143" t="str">
        <f t="shared" si="21"/>
        <v>415.</v>
      </c>
      <c r="C671" s="205" t="s">
        <v>938</v>
      </c>
      <c r="D671" s="162"/>
      <c r="E671" s="163"/>
      <c r="F671" s="159"/>
      <c r="G671" s="164"/>
      <c r="H671" s="204" t="s">
        <v>940</v>
      </c>
      <c r="I671" s="211">
        <v>2005</v>
      </c>
      <c r="J671" s="208">
        <v>0</v>
      </c>
      <c r="K671" s="159"/>
      <c r="L671" s="204" t="s">
        <v>942</v>
      </c>
      <c r="N671" s="141">
        <f t="shared" si="22"/>
        <v>415</v>
      </c>
    </row>
    <row r="672" spans="1:14" ht="15">
      <c r="A672" s="159"/>
      <c r="B672" s="143" t="str">
        <f t="shared" si="21"/>
        <v>416.</v>
      </c>
      <c r="C672" s="205" t="s">
        <v>938</v>
      </c>
      <c r="D672" s="162"/>
      <c r="E672" s="163"/>
      <c r="F672" s="159"/>
      <c r="G672" s="164"/>
      <c r="H672" s="204" t="s">
        <v>940</v>
      </c>
      <c r="I672" s="211">
        <v>2015</v>
      </c>
      <c r="J672" s="208">
        <v>0</v>
      </c>
      <c r="K672" s="159"/>
      <c r="L672" s="204" t="s">
        <v>455</v>
      </c>
      <c r="N672" s="141">
        <f t="shared" si="22"/>
        <v>416</v>
      </c>
    </row>
    <row r="673" spans="1:14" ht="15">
      <c r="A673" s="159"/>
      <c r="B673" s="143" t="str">
        <f t="shared" si="21"/>
        <v>417.</v>
      </c>
      <c r="C673" s="205" t="s">
        <v>938</v>
      </c>
      <c r="D673" s="162"/>
      <c r="E673" s="163"/>
      <c r="F673" s="159"/>
      <c r="G673" s="164"/>
      <c r="H673" s="204" t="s">
        <v>940</v>
      </c>
      <c r="I673" s="211">
        <v>2013</v>
      </c>
      <c r="J673" s="208">
        <v>0</v>
      </c>
      <c r="K673" s="159"/>
      <c r="L673" s="204" t="s">
        <v>455</v>
      </c>
      <c r="N673" s="141">
        <f t="shared" si="22"/>
        <v>417</v>
      </c>
    </row>
    <row r="674" spans="1:14" ht="15">
      <c r="A674" s="159"/>
      <c r="B674" s="143" t="str">
        <f t="shared" si="21"/>
        <v>418.</v>
      </c>
      <c r="C674" s="205" t="s">
        <v>938</v>
      </c>
      <c r="D674" s="162"/>
      <c r="E674" s="163"/>
      <c r="F674" s="159"/>
      <c r="G674" s="164"/>
      <c r="H674" s="204" t="s">
        <v>940</v>
      </c>
      <c r="I674" s="211">
        <v>2014</v>
      </c>
      <c r="J674" s="208">
        <v>0</v>
      </c>
      <c r="K674" s="159"/>
      <c r="L674" s="204" t="s">
        <v>942</v>
      </c>
      <c r="N674" s="141">
        <f t="shared" si="22"/>
        <v>418</v>
      </c>
    </row>
    <row r="675" spans="1:14" ht="15">
      <c r="A675" s="159"/>
      <c r="B675" s="143" t="str">
        <f t="shared" si="21"/>
        <v>419.</v>
      </c>
      <c r="C675" s="205" t="s">
        <v>938</v>
      </c>
      <c r="D675" s="162"/>
      <c r="E675" s="163"/>
      <c r="F675" s="159"/>
      <c r="G675" s="164"/>
      <c r="H675" s="204" t="s">
        <v>940</v>
      </c>
      <c r="I675" s="211">
        <v>2015</v>
      </c>
      <c r="J675" s="208">
        <v>0</v>
      </c>
      <c r="K675" s="159"/>
      <c r="L675" s="204" t="s">
        <v>942</v>
      </c>
      <c r="N675" s="141">
        <f t="shared" si="22"/>
        <v>419</v>
      </c>
    </row>
    <row r="676" spans="1:14" ht="15">
      <c r="A676" s="159"/>
      <c r="B676" s="143" t="str">
        <f t="shared" si="21"/>
        <v>420.</v>
      </c>
      <c r="C676" s="205" t="s">
        <v>938</v>
      </c>
      <c r="D676" s="162"/>
      <c r="E676" s="163"/>
      <c r="F676" s="159"/>
      <c r="G676" s="164"/>
      <c r="H676" s="204" t="s">
        <v>940</v>
      </c>
      <c r="I676" s="211">
        <v>2013</v>
      </c>
      <c r="J676" s="208">
        <v>0</v>
      </c>
      <c r="K676" s="159"/>
      <c r="L676" s="204" t="s">
        <v>942</v>
      </c>
      <c r="N676" s="141">
        <f t="shared" si="22"/>
        <v>420</v>
      </c>
    </row>
    <row r="677" spans="1:14" ht="15">
      <c r="A677" s="159"/>
      <c r="B677" s="143" t="str">
        <f t="shared" si="21"/>
        <v>421.</v>
      </c>
      <c r="C677" s="205" t="s">
        <v>938</v>
      </c>
      <c r="D677" s="162"/>
      <c r="E677" s="163"/>
      <c r="F677" s="159"/>
      <c r="G677" s="164"/>
      <c r="H677" s="204" t="s">
        <v>940</v>
      </c>
      <c r="I677" s="211">
        <v>2014</v>
      </c>
      <c r="J677" s="208">
        <v>0</v>
      </c>
      <c r="K677" s="159"/>
      <c r="L677" s="204" t="s">
        <v>455</v>
      </c>
      <c r="N677" s="141">
        <f t="shared" si="22"/>
        <v>421</v>
      </c>
    </row>
    <row r="678" spans="1:14" ht="15">
      <c r="A678" s="159"/>
      <c r="B678" s="143" t="str">
        <f t="shared" si="21"/>
        <v>422.</v>
      </c>
      <c r="C678" s="205" t="s">
        <v>938</v>
      </c>
      <c r="D678" s="162"/>
      <c r="E678" s="163"/>
      <c r="F678" s="159"/>
      <c r="G678" s="164"/>
      <c r="H678" s="204" t="s">
        <v>940</v>
      </c>
      <c r="I678" s="211">
        <v>2014</v>
      </c>
      <c r="J678" s="208">
        <v>0</v>
      </c>
      <c r="K678" s="159"/>
      <c r="L678" s="204" t="s">
        <v>455</v>
      </c>
      <c r="N678" s="141">
        <f t="shared" si="22"/>
        <v>422</v>
      </c>
    </row>
    <row r="679" spans="1:14" ht="15">
      <c r="A679" s="159"/>
      <c r="B679" s="143" t="str">
        <f t="shared" si="21"/>
        <v>423.</v>
      </c>
      <c r="C679" s="205" t="s">
        <v>938</v>
      </c>
      <c r="D679" s="162"/>
      <c r="E679" s="163"/>
      <c r="F679" s="159"/>
      <c r="G679" s="164"/>
      <c r="H679" s="204" t="s">
        <v>940</v>
      </c>
      <c r="I679" s="211">
        <v>2016</v>
      </c>
      <c r="J679" s="208">
        <v>0</v>
      </c>
      <c r="K679" s="159"/>
      <c r="L679" s="204" t="s">
        <v>942</v>
      </c>
      <c r="N679" s="141">
        <f t="shared" si="22"/>
        <v>423</v>
      </c>
    </row>
    <row r="680" spans="1:14" ht="15">
      <c r="A680" s="159"/>
      <c r="B680" s="143" t="str">
        <f t="shared" si="21"/>
        <v>424.</v>
      </c>
      <c r="C680" s="205" t="s">
        <v>938</v>
      </c>
      <c r="D680" s="162"/>
      <c r="E680" s="163"/>
      <c r="F680" s="159"/>
      <c r="G680" s="164"/>
      <c r="H680" s="204" t="s">
        <v>940</v>
      </c>
      <c r="I680" s="211">
        <v>2016</v>
      </c>
      <c r="J680" s="208">
        <v>0</v>
      </c>
      <c r="K680" s="159"/>
      <c r="L680" s="204" t="s">
        <v>942</v>
      </c>
      <c r="N680" s="141">
        <f t="shared" si="22"/>
        <v>424</v>
      </c>
    </row>
    <row r="681" spans="1:14" ht="15">
      <c r="A681" s="159"/>
      <c r="B681" s="143" t="str">
        <f t="shared" si="21"/>
        <v>425.</v>
      </c>
      <c r="C681" s="205" t="s">
        <v>938</v>
      </c>
      <c r="D681" s="162"/>
      <c r="E681" s="163"/>
      <c r="F681" s="159"/>
      <c r="G681" s="164"/>
      <c r="H681" s="204" t="s">
        <v>940</v>
      </c>
      <c r="I681" s="211">
        <v>2012</v>
      </c>
      <c r="J681" s="208">
        <v>0</v>
      </c>
      <c r="K681" s="159"/>
      <c r="L681" s="204" t="s">
        <v>942</v>
      </c>
      <c r="N681" s="141">
        <f t="shared" si="22"/>
        <v>425</v>
      </c>
    </row>
    <row r="682" spans="1:14" ht="15">
      <c r="A682" s="159"/>
      <c r="B682" s="143" t="str">
        <f t="shared" si="21"/>
        <v>426.</v>
      </c>
      <c r="C682" s="205" t="s">
        <v>938</v>
      </c>
      <c r="D682" s="162"/>
      <c r="E682" s="163"/>
      <c r="F682" s="159"/>
      <c r="G682" s="164"/>
      <c r="H682" s="204" t="s">
        <v>940</v>
      </c>
      <c r="I682" s="211">
        <v>2009</v>
      </c>
      <c r="J682" s="208">
        <v>0</v>
      </c>
      <c r="K682" s="159"/>
      <c r="L682" s="204" t="s">
        <v>455</v>
      </c>
      <c r="N682" s="141">
        <f t="shared" si="22"/>
        <v>426</v>
      </c>
    </row>
    <row r="683" spans="1:14" ht="15">
      <c r="A683" s="159"/>
      <c r="B683" s="143" t="str">
        <f t="shared" si="21"/>
        <v>427.</v>
      </c>
      <c r="C683" s="205" t="s">
        <v>938</v>
      </c>
      <c r="D683" s="162"/>
      <c r="E683" s="163"/>
      <c r="F683" s="159"/>
      <c r="G683" s="164"/>
      <c r="H683" s="204" t="s">
        <v>940</v>
      </c>
      <c r="I683" s="211">
        <v>2003</v>
      </c>
      <c r="J683" s="208">
        <v>0</v>
      </c>
      <c r="K683" s="159"/>
      <c r="L683" s="204" t="s">
        <v>455</v>
      </c>
      <c r="N683" s="141">
        <f t="shared" si="22"/>
        <v>427</v>
      </c>
    </row>
    <row r="684" spans="1:14" ht="15">
      <c r="A684" s="159"/>
      <c r="B684" s="143" t="str">
        <f t="shared" si="21"/>
        <v>428.</v>
      </c>
      <c r="C684" s="205" t="s">
        <v>938</v>
      </c>
      <c r="D684" s="162"/>
      <c r="E684" s="163"/>
      <c r="F684" s="159"/>
      <c r="G684" s="164"/>
      <c r="H684" s="204" t="s">
        <v>940</v>
      </c>
      <c r="I684" s="211">
        <v>2010</v>
      </c>
      <c r="J684" s="208">
        <v>0</v>
      </c>
      <c r="K684" s="159"/>
      <c r="L684" s="204" t="s">
        <v>455</v>
      </c>
      <c r="N684" s="141">
        <f t="shared" si="22"/>
        <v>428</v>
      </c>
    </row>
    <row r="685" spans="1:14" ht="15">
      <c r="A685" s="159"/>
      <c r="B685" s="143" t="str">
        <f t="shared" si="21"/>
        <v>429.</v>
      </c>
      <c r="C685" s="205" t="s">
        <v>938</v>
      </c>
      <c r="D685" s="162"/>
      <c r="E685" s="163"/>
      <c r="F685" s="159"/>
      <c r="G685" s="164"/>
      <c r="H685" s="204" t="s">
        <v>940</v>
      </c>
      <c r="I685" s="211">
        <v>2017</v>
      </c>
      <c r="J685" s="208">
        <v>0</v>
      </c>
      <c r="K685" s="159"/>
      <c r="L685" s="204" t="s">
        <v>455</v>
      </c>
      <c r="N685" s="141">
        <f t="shared" si="22"/>
        <v>429</v>
      </c>
    </row>
    <row r="686" spans="1:14" ht="15">
      <c r="A686" s="159"/>
      <c r="B686" s="143" t="str">
        <f t="shared" si="21"/>
        <v>430.</v>
      </c>
      <c r="C686" s="205" t="s">
        <v>938</v>
      </c>
      <c r="D686" s="162"/>
      <c r="E686" s="163"/>
      <c r="F686" s="159"/>
      <c r="G686" s="164"/>
      <c r="H686" s="204" t="s">
        <v>940</v>
      </c>
      <c r="I686" s="211">
        <v>2015</v>
      </c>
      <c r="J686" s="208">
        <v>0</v>
      </c>
      <c r="K686" s="159"/>
      <c r="L686" s="204" t="s">
        <v>455</v>
      </c>
      <c r="N686" s="141">
        <f t="shared" si="22"/>
        <v>430</v>
      </c>
    </row>
    <row r="687" spans="1:14" ht="15">
      <c r="A687" s="159"/>
      <c r="B687" s="143" t="str">
        <f t="shared" si="21"/>
        <v>431.</v>
      </c>
      <c r="C687" s="205" t="s">
        <v>938</v>
      </c>
      <c r="D687" s="162"/>
      <c r="E687" s="163"/>
      <c r="F687" s="159"/>
      <c r="G687" s="164"/>
      <c r="H687" s="204" t="s">
        <v>940</v>
      </c>
      <c r="I687" s="211">
        <v>2015</v>
      </c>
      <c r="J687" s="208">
        <v>0</v>
      </c>
      <c r="K687" s="159"/>
      <c r="L687" s="204" t="s">
        <v>455</v>
      </c>
      <c r="N687" s="141">
        <f t="shared" si="22"/>
        <v>431</v>
      </c>
    </row>
    <row r="688" spans="1:14" ht="15">
      <c r="A688" s="159"/>
      <c r="B688" s="143" t="str">
        <f t="shared" si="21"/>
        <v>432.</v>
      </c>
      <c r="C688" s="205" t="s">
        <v>938</v>
      </c>
      <c r="D688" s="162"/>
      <c r="E688" s="163"/>
      <c r="F688" s="159"/>
      <c r="G688" s="164"/>
      <c r="H688" s="204" t="s">
        <v>940</v>
      </c>
      <c r="I688" s="211">
        <v>2011</v>
      </c>
      <c r="J688" s="208">
        <v>0</v>
      </c>
      <c r="K688" s="159"/>
      <c r="L688" s="204" t="s">
        <v>455</v>
      </c>
      <c r="N688" s="141">
        <f t="shared" si="22"/>
        <v>432</v>
      </c>
    </row>
    <row r="689" spans="1:14" ht="15">
      <c r="A689" s="159"/>
      <c r="B689" s="143" t="str">
        <f t="shared" si="21"/>
        <v>433.</v>
      </c>
      <c r="C689" s="205" t="s">
        <v>938</v>
      </c>
      <c r="D689" s="162"/>
      <c r="E689" s="163"/>
      <c r="F689" s="159"/>
      <c r="G689" s="164"/>
      <c r="H689" s="204" t="s">
        <v>940</v>
      </c>
      <c r="I689" s="211">
        <v>2022</v>
      </c>
      <c r="J689" s="208">
        <v>0</v>
      </c>
      <c r="K689" s="159"/>
      <c r="L689" s="204" t="s">
        <v>942</v>
      </c>
      <c r="N689" s="141">
        <f t="shared" si="22"/>
        <v>433</v>
      </c>
    </row>
    <row r="690" spans="1:14" ht="15">
      <c r="A690" s="159"/>
      <c r="B690" s="143" t="str">
        <f t="shared" si="21"/>
        <v>434.</v>
      </c>
      <c r="C690" s="205" t="s">
        <v>938</v>
      </c>
      <c r="D690" s="162"/>
      <c r="E690" s="163"/>
      <c r="F690" s="159"/>
      <c r="G690" s="164"/>
      <c r="H690" s="204" t="s">
        <v>940</v>
      </c>
      <c r="I690" s="211">
        <v>2020</v>
      </c>
      <c r="J690" s="208">
        <v>0</v>
      </c>
      <c r="K690" s="159"/>
      <c r="L690" s="204" t="s">
        <v>942</v>
      </c>
      <c r="N690" s="141">
        <f t="shared" si="22"/>
        <v>434</v>
      </c>
    </row>
    <row r="691" spans="1:14" ht="15">
      <c r="A691" s="159"/>
      <c r="B691" s="143" t="str">
        <f t="shared" si="21"/>
        <v>435.</v>
      </c>
      <c r="C691" s="205" t="s">
        <v>938</v>
      </c>
      <c r="D691" s="162"/>
      <c r="E691" s="163"/>
      <c r="F691" s="159"/>
      <c r="G691" s="164"/>
      <c r="H691" s="204" t="s">
        <v>940</v>
      </c>
      <c r="I691" s="211">
        <v>2020</v>
      </c>
      <c r="J691" s="208">
        <v>0</v>
      </c>
      <c r="K691" s="159"/>
      <c r="L691" s="204" t="s">
        <v>942</v>
      </c>
      <c r="N691" s="141">
        <f t="shared" si="22"/>
        <v>435</v>
      </c>
    </row>
    <row r="692" spans="1:14" ht="15">
      <c r="A692" s="159"/>
      <c r="B692" s="143" t="str">
        <f t="shared" si="21"/>
        <v>436.</v>
      </c>
      <c r="C692" s="205" t="s">
        <v>938</v>
      </c>
      <c r="D692" s="162"/>
      <c r="E692" s="163"/>
      <c r="F692" s="159"/>
      <c r="G692" s="164"/>
      <c r="H692" s="204" t="s">
        <v>940</v>
      </c>
      <c r="I692" s="211">
        <v>2022</v>
      </c>
      <c r="J692" s="208">
        <v>0</v>
      </c>
      <c r="K692" s="159"/>
      <c r="L692" s="204" t="s">
        <v>942</v>
      </c>
      <c r="N692" s="141">
        <f t="shared" si="22"/>
        <v>436</v>
      </c>
    </row>
    <row r="693" spans="1:14" ht="15">
      <c r="A693" s="159"/>
      <c r="B693" s="143" t="str">
        <f t="shared" si="21"/>
        <v>437.</v>
      </c>
      <c r="C693" s="205" t="s">
        <v>938</v>
      </c>
      <c r="D693" s="162"/>
      <c r="E693" s="163"/>
      <c r="F693" s="159"/>
      <c r="G693" s="164"/>
      <c r="H693" s="204" t="s">
        <v>940</v>
      </c>
      <c r="I693" s="211">
        <v>2022</v>
      </c>
      <c r="J693" s="208">
        <v>0</v>
      </c>
      <c r="K693" s="159"/>
      <c r="L693" s="204" t="s">
        <v>942</v>
      </c>
      <c r="N693" s="141">
        <f t="shared" si="22"/>
        <v>437</v>
      </c>
    </row>
    <row r="694" spans="1:14" ht="15">
      <c r="A694" s="159"/>
      <c r="B694" s="143" t="str">
        <f t="shared" si="21"/>
        <v>438.</v>
      </c>
      <c r="C694" s="205" t="s">
        <v>938</v>
      </c>
      <c r="D694" s="162"/>
      <c r="E694" s="163"/>
      <c r="F694" s="159"/>
      <c r="G694" s="164"/>
      <c r="H694" s="204" t="s">
        <v>940</v>
      </c>
      <c r="I694" s="211">
        <v>2022</v>
      </c>
      <c r="J694" s="208">
        <v>0</v>
      </c>
      <c r="K694" s="159"/>
      <c r="L694" s="204" t="s">
        <v>942</v>
      </c>
      <c r="N694" s="141">
        <f t="shared" si="22"/>
        <v>438</v>
      </c>
    </row>
    <row r="695" spans="1:14" ht="15">
      <c r="A695" s="159"/>
      <c r="B695" s="143" t="str">
        <f t="shared" si="21"/>
        <v>439.</v>
      </c>
      <c r="C695" s="205" t="s">
        <v>938</v>
      </c>
      <c r="D695" s="162"/>
      <c r="E695" s="163"/>
      <c r="F695" s="159"/>
      <c r="G695" s="164"/>
      <c r="H695" s="204" t="s">
        <v>940</v>
      </c>
      <c r="I695" s="211">
        <v>2012</v>
      </c>
      <c r="J695" s="208">
        <v>0</v>
      </c>
      <c r="K695" s="159"/>
      <c r="L695" s="204" t="s">
        <v>455</v>
      </c>
      <c r="N695" s="141">
        <f t="shared" si="22"/>
        <v>439</v>
      </c>
    </row>
    <row r="696" spans="1:14" ht="15">
      <c r="A696" s="159"/>
      <c r="B696" s="143" t="str">
        <f t="shared" si="21"/>
        <v>440.</v>
      </c>
      <c r="C696" s="205" t="s">
        <v>938</v>
      </c>
      <c r="D696" s="162"/>
      <c r="E696" s="163"/>
      <c r="F696" s="159"/>
      <c r="G696" s="164"/>
      <c r="H696" s="204" t="s">
        <v>940</v>
      </c>
      <c r="I696" s="211">
        <v>2014</v>
      </c>
      <c r="J696" s="208">
        <v>0</v>
      </c>
      <c r="K696" s="159"/>
      <c r="L696" s="204" t="s">
        <v>942</v>
      </c>
      <c r="N696" s="141">
        <f t="shared" si="22"/>
        <v>440</v>
      </c>
    </row>
    <row r="697" spans="1:14" ht="15">
      <c r="A697" s="159"/>
      <c r="B697" s="143" t="str">
        <f t="shared" si="21"/>
        <v>441.</v>
      </c>
      <c r="C697" s="205" t="s">
        <v>938</v>
      </c>
      <c r="D697" s="162"/>
      <c r="E697" s="163"/>
      <c r="F697" s="159"/>
      <c r="G697" s="164"/>
      <c r="H697" s="204" t="s">
        <v>940</v>
      </c>
      <c r="I697" s="211">
        <v>2014</v>
      </c>
      <c r="J697" s="208">
        <v>0</v>
      </c>
      <c r="K697" s="159"/>
      <c r="L697" s="204" t="s">
        <v>455</v>
      </c>
      <c r="N697" s="141">
        <f t="shared" si="22"/>
        <v>441</v>
      </c>
    </row>
    <row r="698" spans="1:14" ht="15">
      <c r="A698" s="159"/>
      <c r="B698" s="143" t="str">
        <f t="shared" si="21"/>
        <v>442.</v>
      </c>
      <c r="C698" s="205" t="s">
        <v>938</v>
      </c>
      <c r="D698" s="162"/>
      <c r="E698" s="163"/>
      <c r="F698" s="159"/>
      <c r="G698" s="164"/>
      <c r="H698" s="204" t="s">
        <v>940</v>
      </c>
      <c r="I698" s="211">
        <v>2014</v>
      </c>
      <c r="J698" s="208">
        <v>0</v>
      </c>
      <c r="K698" s="159"/>
      <c r="L698" s="204" t="s">
        <v>942</v>
      </c>
      <c r="N698" s="141">
        <f t="shared" si="22"/>
        <v>442</v>
      </c>
    </row>
    <row r="699" spans="1:14" ht="15">
      <c r="A699" s="159"/>
      <c r="B699" s="143" t="str">
        <f t="shared" si="21"/>
        <v>443.</v>
      </c>
      <c r="C699" s="205" t="s">
        <v>938</v>
      </c>
      <c r="D699" s="162"/>
      <c r="E699" s="163"/>
      <c r="F699" s="159"/>
      <c r="G699" s="164"/>
      <c r="H699" s="204" t="s">
        <v>940</v>
      </c>
      <c r="I699" s="211">
        <v>2014</v>
      </c>
      <c r="J699" s="208">
        <v>0</v>
      </c>
      <c r="K699" s="159"/>
      <c r="L699" s="204" t="s">
        <v>942</v>
      </c>
      <c r="N699" s="141">
        <f t="shared" si="22"/>
        <v>443</v>
      </c>
    </row>
    <row r="700" spans="1:14" ht="15">
      <c r="A700" s="159"/>
      <c r="B700" s="143" t="str">
        <f t="shared" si="21"/>
        <v>444.</v>
      </c>
      <c r="C700" s="205" t="s">
        <v>938</v>
      </c>
      <c r="D700" s="162"/>
      <c r="E700" s="163"/>
      <c r="F700" s="159"/>
      <c r="G700" s="164"/>
      <c r="H700" s="204" t="s">
        <v>940</v>
      </c>
      <c r="I700" s="211">
        <v>2019</v>
      </c>
      <c r="J700" s="208">
        <v>0</v>
      </c>
      <c r="K700" s="159"/>
      <c r="L700" s="204" t="s">
        <v>942</v>
      </c>
      <c r="N700" s="141">
        <f t="shared" si="22"/>
        <v>444</v>
      </c>
    </row>
    <row r="701" spans="1:14" ht="15">
      <c r="A701" s="159"/>
      <c r="B701" s="143" t="str">
        <f t="shared" si="21"/>
        <v>445.</v>
      </c>
      <c r="C701" s="205" t="s">
        <v>938</v>
      </c>
      <c r="D701" s="162"/>
      <c r="E701" s="163"/>
      <c r="F701" s="159"/>
      <c r="G701" s="164"/>
      <c r="H701" s="204" t="s">
        <v>940</v>
      </c>
      <c r="I701" s="211">
        <v>2019</v>
      </c>
      <c r="J701" s="208">
        <v>0</v>
      </c>
      <c r="K701" s="159"/>
      <c r="L701" s="204" t="s">
        <v>942</v>
      </c>
      <c r="N701" s="141">
        <f t="shared" si="22"/>
        <v>445</v>
      </c>
    </row>
    <row r="702" spans="1:14" ht="15">
      <c r="A702" s="159"/>
      <c r="B702" s="143" t="str">
        <f t="shared" si="21"/>
        <v>446.</v>
      </c>
      <c r="C702" s="205" t="s">
        <v>938</v>
      </c>
      <c r="D702" s="162"/>
      <c r="E702" s="163"/>
      <c r="F702" s="159"/>
      <c r="G702" s="164"/>
      <c r="H702" s="204" t="s">
        <v>940</v>
      </c>
      <c r="I702" s="211">
        <v>2018</v>
      </c>
      <c r="J702" s="208">
        <v>0</v>
      </c>
      <c r="K702" s="159"/>
      <c r="L702" s="204" t="s">
        <v>942</v>
      </c>
      <c r="N702" s="141">
        <f t="shared" si="22"/>
        <v>446</v>
      </c>
    </row>
    <row r="703" spans="1:14" ht="15">
      <c r="A703" s="159"/>
      <c r="B703" s="143" t="str">
        <f t="shared" si="21"/>
        <v>447.</v>
      </c>
      <c r="C703" s="205" t="s">
        <v>938</v>
      </c>
      <c r="D703" s="162"/>
      <c r="E703" s="163"/>
      <c r="F703" s="159"/>
      <c r="G703" s="164"/>
      <c r="H703" s="204" t="s">
        <v>940</v>
      </c>
      <c r="I703" s="211">
        <v>2019</v>
      </c>
      <c r="J703" s="208">
        <v>0</v>
      </c>
      <c r="K703" s="159"/>
      <c r="L703" s="204" t="s">
        <v>942</v>
      </c>
      <c r="N703" s="141">
        <f t="shared" si="22"/>
        <v>447</v>
      </c>
    </row>
    <row r="704" spans="1:14" ht="15">
      <c r="A704" s="159"/>
      <c r="B704" s="143" t="str">
        <f t="shared" si="21"/>
        <v>448.</v>
      </c>
      <c r="C704" s="205" t="s">
        <v>938</v>
      </c>
      <c r="D704" s="162"/>
      <c r="E704" s="163"/>
      <c r="F704" s="159"/>
      <c r="G704" s="164"/>
      <c r="H704" s="204" t="s">
        <v>940</v>
      </c>
      <c r="I704" s="211">
        <v>2019</v>
      </c>
      <c r="J704" s="208">
        <v>0</v>
      </c>
      <c r="K704" s="159"/>
      <c r="L704" s="204" t="s">
        <v>942</v>
      </c>
      <c r="N704" s="141">
        <f t="shared" si="22"/>
        <v>448</v>
      </c>
    </row>
    <row r="705" spans="1:14" ht="15">
      <c r="A705" s="159"/>
      <c r="B705" s="143" t="str">
        <f t="shared" ref="B705:B768" si="23">N705&amp;"."</f>
        <v>449.</v>
      </c>
      <c r="C705" s="205" t="s">
        <v>938</v>
      </c>
      <c r="D705" s="162"/>
      <c r="E705" s="163"/>
      <c r="F705" s="159"/>
      <c r="G705" s="164"/>
      <c r="H705" s="204" t="s">
        <v>940</v>
      </c>
      <c r="I705" s="211">
        <v>2023</v>
      </c>
      <c r="J705" s="208">
        <v>0</v>
      </c>
      <c r="K705" s="159"/>
      <c r="L705" s="204" t="s">
        <v>942</v>
      </c>
      <c r="N705" s="141">
        <f t="shared" si="22"/>
        <v>449</v>
      </c>
    </row>
    <row r="706" spans="1:14" ht="15">
      <c r="A706" s="159"/>
      <c r="B706" s="143" t="str">
        <f t="shared" si="23"/>
        <v>450.</v>
      </c>
      <c r="C706" s="205" t="s">
        <v>938</v>
      </c>
      <c r="D706" s="162"/>
      <c r="E706" s="163"/>
      <c r="F706" s="159"/>
      <c r="G706" s="164"/>
      <c r="H706" s="204" t="s">
        <v>940</v>
      </c>
      <c r="I706" s="211">
        <v>2022</v>
      </c>
      <c r="J706" s="208">
        <v>0</v>
      </c>
      <c r="K706" s="159"/>
      <c r="L706" s="204" t="s">
        <v>942</v>
      </c>
      <c r="N706" s="141">
        <f t="shared" si="22"/>
        <v>450</v>
      </c>
    </row>
    <row r="707" spans="1:14" ht="15">
      <c r="A707" s="159"/>
      <c r="B707" s="143" t="str">
        <f t="shared" si="23"/>
        <v>451.</v>
      </c>
      <c r="C707" s="205" t="s">
        <v>938</v>
      </c>
      <c r="D707" s="162"/>
      <c r="E707" s="163"/>
      <c r="F707" s="159"/>
      <c r="G707" s="164"/>
      <c r="H707" s="204" t="s">
        <v>940</v>
      </c>
      <c r="I707" s="211">
        <v>2018</v>
      </c>
      <c r="J707" s="208">
        <v>0</v>
      </c>
      <c r="K707" s="159"/>
      <c r="L707" s="204" t="s">
        <v>942</v>
      </c>
      <c r="N707" s="141">
        <f t="shared" ref="N707:N770" si="24">N706+1</f>
        <v>451</v>
      </c>
    </row>
    <row r="708" spans="1:14" ht="15">
      <c r="A708" s="159"/>
      <c r="B708" s="143" t="str">
        <f t="shared" si="23"/>
        <v>452.</v>
      </c>
      <c r="C708" s="205" t="s">
        <v>938</v>
      </c>
      <c r="D708" s="162"/>
      <c r="E708" s="163"/>
      <c r="F708" s="159"/>
      <c r="G708" s="164"/>
      <c r="H708" s="204" t="s">
        <v>940</v>
      </c>
      <c r="I708" s="211">
        <v>2018</v>
      </c>
      <c r="J708" s="208">
        <v>0</v>
      </c>
      <c r="K708" s="159"/>
      <c r="L708" s="204" t="s">
        <v>942</v>
      </c>
      <c r="N708" s="141">
        <f t="shared" si="24"/>
        <v>452</v>
      </c>
    </row>
    <row r="709" spans="1:14" ht="15">
      <c r="A709" s="159"/>
      <c r="B709" s="143" t="str">
        <f t="shared" si="23"/>
        <v>453.</v>
      </c>
      <c r="C709" s="205" t="s">
        <v>938</v>
      </c>
      <c r="D709" s="162"/>
      <c r="E709" s="163"/>
      <c r="F709" s="159"/>
      <c r="G709" s="164"/>
      <c r="H709" s="204" t="s">
        <v>940</v>
      </c>
      <c r="I709" s="211">
        <v>2016</v>
      </c>
      <c r="J709" s="208">
        <v>0</v>
      </c>
      <c r="K709" s="159"/>
      <c r="L709" s="204" t="s">
        <v>942</v>
      </c>
      <c r="N709" s="141">
        <f t="shared" si="24"/>
        <v>453</v>
      </c>
    </row>
    <row r="710" spans="1:14" ht="15">
      <c r="A710" s="159"/>
      <c r="B710" s="143" t="str">
        <f t="shared" si="23"/>
        <v>454.</v>
      </c>
      <c r="C710" s="205" t="s">
        <v>938</v>
      </c>
      <c r="D710" s="162"/>
      <c r="E710" s="163"/>
      <c r="F710" s="159"/>
      <c r="G710" s="164"/>
      <c r="H710" s="204" t="s">
        <v>940</v>
      </c>
      <c r="I710" s="211">
        <v>2015</v>
      </c>
      <c r="J710" s="208">
        <v>0</v>
      </c>
      <c r="K710" s="159"/>
      <c r="L710" s="204" t="s">
        <v>942</v>
      </c>
      <c r="N710" s="141">
        <f t="shared" si="24"/>
        <v>454</v>
      </c>
    </row>
    <row r="711" spans="1:14" ht="15">
      <c r="A711" s="159"/>
      <c r="B711" s="143" t="str">
        <f t="shared" si="23"/>
        <v>455.</v>
      </c>
      <c r="C711" s="205" t="s">
        <v>938</v>
      </c>
      <c r="D711" s="162"/>
      <c r="E711" s="163"/>
      <c r="F711" s="159"/>
      <c r="G711" s="164"/>
      <c r="H711" s="204" t="s">
        <v>940</v>
      </c>
      <c r="I711" s="211">
        <v>2015</v>
      </c>
      <c r="J711" s="208">
        <v>0</v>
      </c>
      <c r="K711" s="159"/>
      <c r="L711" s="204" t="s">
        <v>942</v>
      </c>
      <c r="N711" s="141">
        <f t="shared" si="24"/>
        <v>455</v>
      </c>
    </row>
    <row r="712" spans="1:14" ht="15">
      <c r="A712" s="159"/>
      <c r="B712" s="143" t="str">
        <f t="shared" si="23"/>
        <v>456.</v>
      </c>
      <c r="C712" s="205" t="s">
        <v>938</v>
      </c>
      <c r="D712" s="162"/>
      <c r="E712" s="163"/>
      <c r="F712" s="159"/>
      <c r="G712" s="164"/>
      <c r="H712" s="204" t="s">
        <v>940</v>
      </c>
      <c r="I712" s="211">
        <v>2016</v>
      </c>
      <c r="J712" s="208">
        <v>0</v>
      </c>
      <c r="K712" s="159"/>
      <c r="L712" s="204" t="s">
        <v>942</v>
      </c>
      <c r="N712" s="141">
        <f t="shared" si="24"/>
        <v>456</v>
      </c>
    </row>
    <row r="713" spans="1:14" ht="15">
      <c r="A713" s="159"/>
      <c r="B713" s="143" t="str">
        <f t="shared" si="23"/>
        <v>457.</v>
      </c>
      <c r="C713" s="205" t="s">
        <v>938</v>
      </c>
      <c r="D713" s="162"/>
      <c r="E713" s="163"/>
      <c r="F713" s="159"/>
      <c r="G713" s="164"/>
      <c r="H713" s="204" t="s">
        <v>940</v>
      </c>
      <c r="I713" s="211">
        <v>2016</v>
      </c>
      <c r="J713" s="208">
        <v>0</v>
      </c>
      <c r="K713" s="159"/>
      <c r="L713" s="204" t="s">
        <v>942</v>
      </c>
      <c r="N713" s="141">
        <f t="shared" si="24"/>
        <v>457</v>
      </c>
    </row>
    <row r="714" spans="1:14" ht="15">
      <c r="A714" s="159"/>
      <c r="B714" s="143" t="str">
        <f t="shared" si="23"/>
        <v>458.</v>
      </c>
      <c r="C714" s="205" t="s">
        <v>938</v>
      </c>
      <c r="D714" s="162"/>
      <c r="E714" s="163"/>
      <c r="F714" s="159"/>
      <c r="G714" s="164"/>
      <c r="H714" s="204" t="s">
        <v>940</v>
      </c>
      <c r="I714" s="211">
        <v>2016</v>
      </c>
      <c r="J714" s="208">
        <v>0</v>
      </c>
      <c r="K714" s="159"/>
      <c r="L714" s="204" t="s">
        <v>942</v>
      </c>
      <c r="N714" s="141">
        <f t="shared" si="24"/>
        <v>458</v>
      </c>
    </row>
    <row r="715" spans="1:14" ht="15">
      <c r="A715" s="159"/>
      <c r="B715" s="143" t="str">
        <f t="shared" si="23"/>
        <v>459.</v>
      </c>
      <c r="C715" s="205" t="s">
        <v>938</v>
      </c>
      <c r="D715" s="162"/>
      <c r="E715" s="163"/>
      <c r="F715" s="159"/>
      <c r="G715" s="164"/>
      <c r="H715" s="204" t="s">
        <v>940</v>
      </c>
      <c r="I715" s="211">
        <v>2009</v>
      </c>
      <c r="J715" s="208">
        <v>0</v>
      </c>
      <c r="K715" s="159"/>
      <c r="L715" s="204" t="s">
        <v>942</v>
      </c>
      <c r="N715" s="141">
        <f t="shared" si="24"/>
        <v>459</v>
      </c>
    </row>
    <row r="716" spans="1:14" ht="15">
      <c r="A716" s="159"/>
      <c r="B716" s="143" t="str">
        <f t="shared" si="23"/>
        <v>460.</v>
      </c>
      <c r="C716" s="205" t="s">
        <v>938</v>
      </c>
      <c r="D716" s="162"/>
      <c r="E716" s="163"/>
      <c r="F716" s="159"/>
      <c r="G716" s="164"/>
      <c r="H716" s="204" t="s">
        <v>940</v>
      </c>
      <c r="I716" s="211">
        <v>2009</v>
      </c>
      <c r="J716" s="208">
        <v>0</v>
      </c>
      <c r="K716" s="159"/>
      <c r="L716" s="204" t="s">
        <v>942</v>
      </c>
      <c r="N716" s="141">
        <f t="shared" si="24"/>
        <v>460</v>
      </c>
    </row>
    <row r="717" spans="1:14" ht="15">
      <c r="A717" s="159"/>
      <c r="B717" s="143" t="str">
        <f t="shared" si="23"/>
        <v>461.</v>
      </c>
      <c r="C717" s="205" t="s">
        <v>938</v>
      </c>
      <c r="D717" s="162"/>
      <c r="E717" s="163"/>
      <c r="F717" s="159"/>
      <c r="G717" s="164"/>
      <c r="H717" s="204" t="s">
        <v>940</v>
      </c>
      <c r="I717" s="211">
        <v>2010</v>
      </c>
      <c r="J717" s="208">
        <v>0</v>
      </c>
      <c r="K717" s="159"/>
      <c r="L717" s="204" t="s">
        <v>942</v>
      </c>
      <c r="N717" s="141">
        <f t="shared" si="24"/>
        <v>461</v>
      </c>
    </row>
    <row r="718" spans="1:14" ht="15">
      <c r="A718" s="159"/>
      <c r="B718" s="143" t="str">
        <f t="shared" si="23"/>
        <v>462.</v>
      </c>
      <c r="C718" s="205" t="s">
        <v>938</v>
      </c>
      <c r="D718" s="162"/>
      <c r="E718" s="163"/>
      <c r="F718" s="159"/>
      <c r="G718" s="164"/>
      <c r="H718" s="204" t="s">
        <v>940</v>
      </c>
      <c r="I718" s="211">
        <v>2009</v>
      </c>
      <c r="J718" s="208">
        <v>0</v>
      </c>
      <c r="K718" s="159"/>
      <c r="L718" s="204" t="s">
        <v>942</v>
      </c>
      <c r="N718" s="141">
        <f t="shared" si="24"/>
        <v>462</v>
      </c>
    </row>
    <row r="719" spans="1:14" ht="15">
      <c r="A719" s="159"/>
      <c r="B719" s="143" t="str">
        <f t="shared" si="23"/>
        <v>463.</v>
      </c>
      <c r="C719" s="205" t="s">
        <v>938</v>
      </c>
      <c r="D719" s="162"/>
      <c r="E719" s="163"/>
      <c r="F719" s="159"/>
      <c r="G719" s="164"/>
      <c r="H719" s="204" t="s">
        <v>940</v>
      </c>
      <c r="I719" s="211">
        <v>2009</v>
      </c>
      <c r="J719" s="208">
        <v>0</v>
      </c>
      <c r="K719" s="159"/>
      <c r="L719" s="204" t="s">
        <v>942</v>
      </c>
      <c r="N719" s="141">
        <f t="shared" si="24"/>
        <v>463</v>
      </c>
    </row>
    <row r="720" spans="1:14" ht="15">
      <c r="A720" s="159"/>
      <c r="B720" s="143" t="str">
        <f t="shared" si="23"/>
        <v>464.</v>
      </c>
      <c r="C720" s="205" t="s">
        <v>938</v>
      </c>
      <c r="D720" s="162"/>
      <c r="E720" s="163"/>
      <c r="F720" s="159"/>
      <c r="G720" s="164"/>
      <c r="H720" s="204" t="s">
        <v>940</v>
      </c>
      <c r="I720" s="211">
        <v>2022</v>
      </c>
      <c r="J720" s="208">
        <v>0</v>
      </c>
      <c r="K720" s="159"/>
      <c r="L720" s="204" t="s">
        <v>942</v>
      </c>
      <c r="N720" s="141">
        <f t="shared" si="24"/>
        <v>464</v>
      </c>
    </row>
    <row r="721" spans="1:14" ht="15">
      <c r="A721" s="159"/>
      <c r="B721" s="143" t="str">
        <f t="shared" si="23"/>
        <v>465.</v>
      </c>
      <c r="C721" s="205" t="s">
        <v>938</v>
      </c>
      <c r="D721" s="162"/>
      <c r="E721" s="163"/>
      <c r="F721" s="159"/>
      <c r="G721" s="164"/>
      <c r="H721" s="204" t="s">
        <v>940</v>
      </c>
      <c r="I721" s="211">
        <v>2013</v>
      </c>
      <c r="J721" s="208">
        <v>0</v>
      </c>
      <c r="K721" s="159"/>
      <c r="L721" s="204" t="s">
        <v>942</v>
      </c>
      <c r="N721" s="141">
        <f t="shared" si="24"/>
        <v>465</v>
      </c>
    </row>
    <row r="722" spans="1:14" ht="15">
      <c r="A722" s="159"/>
      <c r="B722" s="143" t="str">
        <f t="shared" si="23"/>
        <v>466.</v>
      </c>
      <c r="C722" s="205" t="s">
        <v>938</v>
      </c>
      <c r="D722" s="162"/>
      <c r="E722" s="163"/>
      <c r="F722" s="159"/>
      <c r="G722" s="164"/>
      <c r="H722" s="204" t="s">
        <v>940</v>
      </c>
      <c r="I722" s="211">
        <v>2015</v>
      </c>
      <c r="J722" s="208">
        <v>0</v>
      </c>
      <c r="K722" s="159"/>
      <c r="L722" s="204" t="s">
        <v>942</v>
      </c>
      <c r="N722" s="141">
        <f t="shared" si="24"/>
        <v>466</v>
      </c>
    </row>
    <row r="723" spans="1:14" ht="15">
      <c r="A723" s="159"/>
      <c r="B723" s="143" t="str">
        <f t="shared" si="23"/>
        <v>467.</v>
      </c>
      <c r="C723" s="205" t="s">
        <v>938</v>
      </c>
      <c r="D723" s="162"/>
      <c r="E723" s="163"/>
      <c r="F723" s="159"/>
      <c r="G723" s="164"/>
      <c r="H723" s="204" t="s">
        <v>940</v>
      </c>
      <c r="I723" s="211">
        <v>2009</v>
      </c>
      <c r="J723" s="208">
        <v>0</v>
      </c>
      <c r="K723" s="159"/>
      <c r="L723" s="204" t="s">
        <v>942</v>
      </c>
      <c r="N723" s="141">
        <f t="shared" si="24"/>
        <v>467</v>
      </c>
    </row>
    <row r="724" spans="1:14" ht="15">
      <c r="A724" s="159"/>
      <c r="B724" s="143" t="str">
        <f t="shared" si="23"/>
        <v>468.</v>
      </c>
      <c r="C724" s="205" t="s">
        <v>604</v>
      </c>
      <c r="D724" s="162"/>
      <c r="E724" s="163"/>
      <c r="F724" s="159"/>
      <c r="G724" s="164"/>
      <c r="H724" s="204" t="s">
        <v>662</v>
      </c>
      <c r="I724" s="211">
        <v>2021</v>
      </c>
      <c r="J724" s="208">
        <v>1235000</v>
      </c>
      <c r="K724" s="159"/>
      <c r="L724" s="204" t="s">
        <v>943</v>
      </c>
      <c r="N724" s="141">
        <f t="shared" si="24"/>
        <v>468</v>
      </c>
    </row>
    <row r="725" spans="1:14" ht="15">
      <c r="A725" s="159"/>
      <c r="B725" s="143" t="str">
        <f t="shared" si="23"/>
        <v>469.</v>
      </c>
      <c r="C725" s="205" t="s">
        <v>939</v>
      </c>
      <c r="D725" s="162"/>
      <c r="E725" s="163"/>
      <c r="F725" s="159"/>
      <c r="G725" s="164"/>
      <c r="H725" s="204" t="s">
        <v>941</v>
      </c>
      <c r="I725" s="211">
        <v>2024</v>
      </c>
      <c r="J725" s="208">
        <v>37913000</v>
      </c>
      <c r="K725" s="159"/>
      <c r="L725" s="204" t="s">
        <v>944</v>
      </c>
      <c r="N725" s="141">
        <f t="shared" si="24"/>
        <v>469</v>
      </c>
    </row>
    <row r="726" spans="1:14" ht="15">
      <c r="A726" s="159"/>
      <c r="B726" s="143" t="str">
        <f t="shared" si="23"/>
        <v>470.</v>
      </c>
      <c r="C726" s="205" t="s">
        <v>938</v>
      </c>
      <c r="D726" s="162"/>
      <c r="E726" s="163"/>
      <c r="F726" s="159"/>
      <c r="G726" s="164"/>
      <c r="H726" s="204" t="s">
        <v>940</v>
      </c>
      <c r="I726" s="211">
        <v>2024</v>
      </c>
      <c r="J726" s="208">
        <v>5247</v>
      </c>
      <c r="K726" s="159"/>
      <c r="L726" s="204" t="s">
        <v>942</v>
      </c>
      <c r="N726" s="141">
        <f t="shared" si="24"/>
        <v>470</v>
      </c>
    </row>
    <row r="727" spans="1:14" ht="15">
      <c r="A727" s="159"/>
      <c r="B727" s="143" t="str">
        <f t="shared" si="23"/>
        <v>471.</v>
      </c>
      <c r="C727" s="205" t="s">
        <v>938</v>
      </c>
      <c r="D727" s="162"/>
      <c r="E727" s="163"/>
      <c r="F727" s="159"/>
      <c r="G727" s="164"/>
      <c r="H727" s="204" t="s">
        <v>940</v>
      </c>
      <c r="I727" s="211">
        <v>2024</v>
      </c>
      <c r="J727" s="208">
        <v>4737</v>
      </c>
      <c r="K727" s="159"/>
      <c r="L727" s="204" t="s">
        <v>942</v>
      </c>
      <c r="N727" s="141">
        <f t="shared" si="24"/>
        <v>471</v>
      </c>
    </row>
    <row r="728" spans="1:14" ht="15">
      <c r="A728" s="159"/>
      <c r="B728" s="143" t="str">
        <f t="shared" si="23"/>
        <v>472.</v>
      </c>
      <c r="C728" s="205" t="s">
        <v>938</v>
      </c>
      <c r="D728" s="162"/>
      <c r="E728" s="163"/>
      <c r="F728" s="159"/>
      <c r="G728" s="164"/>
      <c r="H728" s="204" t="s">
        <v>940</v>
      </c>
      <c r="I728" s="211">
        <v>2024</v>
      </c>
      <c r="J728" s="208">
        <v>5247</v>
      </c>
      <c r="K728" s="159"/>
      <c r="L728" s="204" t="s">
        <v>942</v>
      </c>
      <c r="N728" s="141">
        <f t="shared" si="24"/>
        <v>472</v>
      </c>
    </row>
    <row r="729" spans="1:14" ht="15">
      <c r="A729" s="159"/>
      <c r="B729" s="143" t="str">
        <f t="shared" si="23"/>
        <v>473.</v>
      </c>
      <c r="C729" s="205" t="s">
        <v>938</v>
      </c>
      <c r="D729" s="162"/>
      <c r="E729" s="163"/>
      <c r="F729" s="159"/>
      <c r="G729" s="164"/>
      <c r="H729" s="204" t="s">
        <v>940</v>
      </c>
      <c r="I729" s="211">
        <v>2024</v>
      </c>
      <c r="J729" s="208">
        <v>4737</v>
      </c>
      <c r="K729" s="159"/>
      <c r="L729" s="204" t="s">
        <v>942</v>
      </c>
      <c r="N729" s="141">
        <f t="shared" si="24"/>
        <v>473</v>
      </c>
    </row>
    <row r="730" spans="1:14" ht="15">
      <c r="A730" s="159"/>
      <c r="B730" s="143" t="str">
        <f t="shared" si="23"/>
        <v>474.</v>
      </c>
      <c r="C730" s="205" t="s">
        <v>938</v>
      </c>
      <c r="D730" s="162"/>
      <c r="E730" s="163"/>
      <c r="F730" s="159"/>
      <c r="G730" s="164"/>
      <c r="H730" s="204" t="s">
        <v>940</v>
      </c>
      <c r="I730" s="211">
        <v>2024</v>
      </c>
      <c r="J730" s="208">
        <v>5247</v>
      </c>
      <c r="K730" s="159"/>
      <c r="L730" s="204" t="s">
        <v>942</v>
      </c>
      <c r="N730" s="141">
        <f t="shared" si="24"/>
        <v>474</v>
      </c>
    </row>
    <row r="731" spans="1:14" ht="15">
      <c r="A731" s="159"/>
      <c r="B731" s="143" t="str">
        <f t="shared" si="23"/>
        <v>475.</v>
      </c>
      <c r="C731" s="205" t="s">
        <v>938</v>
      </c>
      <c r="D731" s="162"/>
      <c r="E731" s="163"/>
      <c r="F731" s="159"/>
      <c r="G731" s="164"/>
      <c r="H731" s="204" t="s">
        <v>940</v>
      </c>
      <c r="I731" s="211">
        <v>2024</v>
      </c>
      <c r="J731" s="208">
        <v>4737</v>
      </c>
      <c r="K731" s="159"/>
      <c r="L731" s="204" t="s">
        <v>942</v>
      </c>
      <c r="N731" s="141">
        <f t="shared" si="24"/>
        <v>475</v>
      </c>
    </row>
    <row r="732" spans="1:14" ht="15">
      <c r="A732" s="159"/>
      <c r="B732" s="143" t="str">
        <f t="shared" si="23"/>
        <v>476.</v>
      </c>
      <c r="C732" s="205" t="s">
        <v>938</v>
      </c>
      <c r="D732" s="162"/>
      <c r="E732" s="163"/>
      <c r="F732" s="159"/>
      <c r="G732" s="164"/>
      <c r="H732" s="204" t="s">
        <v>940</v>
      </c>
      <c r="I732" s="211">
        <v>2024</v>
      </c>
      <c r="J732" s="208">
        <v>4737</v>
      </c>
      <c r="K732" s="159"/>
      <c r="L732" s="204" t="s">
        <v>942</v>
      </c>
      <c r="N732" s="141">
        <f t="shared" si="24"/>
        <v>476</v>
      </c>
    </row>
    <row r="733" spans="1:14" ht="15">
      <c r="A733" s="159"/>
      <c r="B733" s="143" t="str">
        <f t="shared" si="23"/>
        <v>477.</v>
      </c>
      <c r="C733" s="205" t="s">
        <v>938</v>
      </c>
      <c r="D733" s="162"/>
      <c r="E733" s="163"/>
      <c r="F733" s="159"/>
      <c r="G733" s="164"/>
      <c r="H733" s="204" t="s">
        <v>940</v>
      </c>
      <c r="I733" s="211">
        <v>2024</v>
      </c>
      <c r="J733" s="208">
        <v>5247</v>
      </c>
      <c r="K733" s="159"/>
      <c r="L733" s="204" t="s">
        <v>942</v>
      </c>
      <c r="N733" s="141">
        <f t="shared" si="24"/>
        <v>477</v>
      </c>
    </row>
    <row r="734" spans="1:14" ht="15">
      <c r="A734" s="159"/>
      <c r="B734" s="143" t="str">
        <f t="shared" si="23"/>
        <v>478.</v>
      </c>
      <c r="C734" s="205" t="s">
        <v>938</v>
      </c>
      <c r="D734" s="162"/>
      <c r="E734" s="163"/>
      <c r="F734" s="159"/>
      <c r="G734" s="164"/>
      <c r="H734" s="204" t="s">
        <v>940</v>
      </c>
      <c r="I734" s="211">
        <v>2024</v>
      </c>
      <c r="J734" s="208">
        <v>6952</v>
      </c>
      <c r="K734" s="159"/>
      <c r="L734" s="204" t="s">
        <v>942</v>
      </c>
      <c r="N734" s="141">
        <f t="shared" si="24"/>
        <v>478</v>
      </c>
    </row>
    <row r="735" spans="1:14" ht="15">
      <c r="A735" s="159"/>
      <c r="B735" s="143" t="str">
        <f t="shared" si="23"/>
        <v>479.</v>
      </c>
      <c r="C735" s="205" t="s">
        <v>938</v>
      </c>
      <c r="D735" s="162"/>
      <c r="E735" s="163"/>
      <c r="F735" s="159"/>
      <c r="G735" s="164"/>
      <c r="H735" s="204" t="s">
        <v>940</v>
      </c>
      <c r="I735" s="211">
        <v>2024</v>
      </c>
      <c r="J735" s="208">
        <v>5247</v>
      </c>
      <c r="K735" s="159"/>
      <c r="L735" s="204" t="s">
        <v>942</v>
      </c>
      <c r="N735" s="141">
        <f t="shared" si="24"/>
        <v>479</v>
      </c>
    </row>
    <row r="736" spans="1:14" ht="15">
      <c r="A736" s="159"/>
      <c r="B736" s="143" t="str">
        <f t="shared" si="23"/>
        <v>480.</v>
      </c>
      <c r="C736" s="205" t="s">
        <v>938</v>
      </c>
      <c r="D736" s="162"/>
      <c r="E736" s="163"/>
      <c r="F736" s="159"/>
      <c r="G736" s="164"/>
      <c r="H736" s="204" t="s">
        <v>940</v>
      </c>
      <c r="I736" s="211">
        <v>2024</v>
      </c>
      <c r="J736" s="208">
        <v>5247</v>
      </c>
      <c r="K736" s="159"/>
      <c r="L736" s="204" t="s">
        <v>942</v>
      </c>
      <c r="N736" s="141">
        <f t="shared" si="24"/>
        <v>480</v>
      </c>
    </row>
    <row r="737" spans="1:14" ht="15">
      <c r="A737" s="159"/>
      <c r="B737" s="143" t="str">
        <f t="shared" si="23"/>
        <v>481.</v>
      </c>
      <c r="C737" s="205" t="s">
        <v>938</v>
      </c>
      <c r="D737" s="162"/>
      <c r="E737" s="163"/>
      <c r="F737" s="159"/>
      <c r="G737" s="164"/>
      <c r="H737" s="204" t="s">
        <v>940</v>
      </c>
      <c r="I737" s="211">
        <v>2024</v>
      </c>
      <c r="J737" s="208">
        <v>5247</v>
      </c>
      <c r="K737" s="159"/>
      <c r="L737" s="204" t="s">
        <v>942</v>
      </c>
      <c r="N737" s="141">
        <f t="shared" si="24"/>
        <v>481</v>
      </c>
    </row>
    <row r="738" spans="1:14" ht="15">
      <c r="A738" s="159"/>
      <c r="B738" s="143" t="str">
        <f t="shared" si="23"/>
        <v>482.</v>
      </c>
      <c r="C738" s="205" t="s">
        <v>938</v>
      </c>
      <c r="D738" s="162"/>
      <c r="E738" s="163"/>
      <c r="F738" s="159"/>
      <c r="G738" s="164"/>
      <c r="H738" s="204" t="s">
        <v>940</v>
      </c>
      <c r="I738" s="211">
        <v>2024</v>
      </c>
      <c r="J738" s="208">
        <v>5247</v>
      </c>
      <c r="K738" s="159"/>
      <c r="L738" s="204" t="s">
        <v>942</v>
      </c>
      <c r="N738" s="141">
        <f t="shared" si="24"/>
        <v>482</v>
      </c>
    </row>
    <row r="739" spans="1:14" ht="15">
      <c r="A739" s="159"/>
      <c r="B739" s="143" t="str">
        <f t="shared" si="23"/>
        <v>483.</v>
      </c>
      <c r="C739" s="205" t="s">
        <v>938</v>
      </c>
      <c r="D739" s="162"/>
      <c r="E739" s="163"/>
      <c r="F739" s="159"/>
      <c r="G739" s="164"/>
      <c r="H739" s="204" t="s">
        <v>940</v>
      </c>
      <c r="I739" s="211">
        <v>2024</v>
      </c>
      <c r="J739" s="208">
        <v>5247</v>
      </c>
      <c r="K739" s="159"/>
      <c r="L739" s="204" t="s">
        <v>942</v>
      </c>
      <c r="N739" s="141">
        <f t="shared" si="24"/>
        <v>483</v>
      </c>
    </row>
    <row r="740" spans="1:14" ht="15">
      <c r="A740" s="159"/>
      <c r="B740" s="143" t="str">
        <f t="shared" si="23"/>
        <v>484.</v>
      </c>
      <c r="C740" s="205" t="s">
        <v>938</v>
      </c>
      <c r="D740" s="162"/>
      <c r="E740" s="163"/>
      <c r="F740" s="159"/>
      <c r="G740" s="164"/>
      <c r="H740" s="204" t="s">
        <v>940</v>
      </c>
      <c r="I740" s="211">
        <v>2024</v>
      </c>
      <c r="J740" s="208">
        <v>5247</v>
      </c>
      <c r="K740" s="159"/>
      <c r="L740" s="204" t="s">
        <v>942</v>
      </c>
      <c r="N740" s="141">
        <f t="shared" si="24"/>
        <v>484</v>
      </c>
    </row>
    <row r="741" spans="1:14" ht="15">
      <c r="A741" s="159"/>
      <c r="B741" s="143" t="str">
        <f t="shared" si="23"/>
        <v>485.</v>
      </c>
      <c r="C741" s="205" t="s">
        <v>938</v>
      </c>
      <c r="D741" s="162"/>
      <c r="E741" s="163"/>
      <c r="F741" s="159"/>
      <c r="G741" s="164"/>
      <c r="H741" s="204" t="s">
        <v>940</v>
      </c>
      <c r="I741" s="211">
        <v>2024</v>
      </c>
      <c r="J741" s="208">
        <v>5247</v>
      </c>
      <c r="K741" s="159"/>
      <c r="L741" s="204" t="s">
        <v>942</v>
      </c>
      <c r="N741" s="141">
        <f t="shared" si="24"/>
        <v>485</v>
      </c>
    </row>
    <row r="742" spans="1:14" ht="15">
      <c r="A742" s="159"/>
      <c r="B742" s="143" t="str">
        <f t="shared" si="23"/>
        <v>486.</v>
      </c>
      <c r="C742" s="205" t="s">
        <v>938</v>
      </c>
      <c r="D742" s="162"/>
      <c r="E742" s="163"/>
      <c r="F742" s="159"/>
      <c r="G742" s="164"/>
      <c r="H742" s="204" t="s">
        <v>940</v>
      </c>
      <c r="I742" s="211">
        <v>2024</v>
      </c>
      <c r="J742" s="208">
        <v>4737</v>
      </c>
      <c r="K742" s="159"/>
      <c r="L742" s="204" t="s">
        <v>942</v>
      </c>
      <c r="N742" s="141">
        <f t="shared" si="24"/>
        <v>486</v>
      </c>
    </row>
    <row r="743" spans="1:14" ht="15">
      <c r="A743" s="159"/>
      <c r="B743" s="143" t="str">
        <f t="shared" si="23"/>
        <v>487.</v>
      </c>
      <c r="C743" s="205" t="s">
        <v>938</v>
      </c>
      <c r="D743" s="162"/>
      <c r="E743" s="163"/>
      <c r="F743" s="159"/>
      <c r="G743" s="164"/>
      <c r="H743" s="204" t="s">
        <v>940</v>
      </c>
      <c r="I743" s="211">
        <v>2024</v>
      </c>
      <c r="J743" s="208">
        <v>4737</v>
      </c>
      <c r="K743" s="159"/>
      <c r="L743" s="204" t="s">
        <v>942</v>
      </c>
      <c r="N743" s="141">
        <f t="shared" si="24"/>
        <v>487</v>
      </c>
    </row>
    <row r="744" spans="1:14" ht="15">
      <c r="A744" s="159"/>
      <c r="B744" s="143" t="str">
        <f t="shared" si="23"/>
        <v>488.</v>
      </c>
      <c r="C744" s="205" t="s">
        <v>938</v>
      </c>
      <c r="D744" s="162"/>
      <c r="E744" s="163"/>
      <c r="F744" s="159"/>
      <c r="G744" s="164"/>
      <c r="H744" s="204" t="s">
        <v>940</v>
      </c>
      <c r="I744" s="211">
        <v>2024</v>
      </c>
      <c r="J744" s="208">
        <v>6952</v>
      </c>
      <c r="K744" s="159"/>
      <c r="L744" s="204" t="s">
        <v>942</v>
      </c>
      <c r="N744" s="141">
        <f t="shared" si="24"/>
        <v>488</v>
      </c>
    </row>
    <row r="745" spans="1:14" ht="15">
      <c r="A745" s="159"/>
      <c r="B745" s="143" t="str">
        <f t="shared" si="23"/>
        <v>489.</v>
      </c>
      <c r="C745" s="205" t="s">
        <v>938</v>
      </c>
      <c r="D745" s="162"/>
      <c r="E745" s="163"/>
      <c r="F745" s="159"/>
      <c r="G745" s="164"/>
      <c r="H745" s="204" t="s">
        <v>940</v>
      </c>
      <c r="I745" s="211">
        <v>2024</v>
      </c>
      <c r="J745" s="208">
        <v>4737</v>
      </c>
      <c r="K745" s="159"/>
      <c r="L745" s="204" t="s">
        <v>942</v>
      </c>
      <c r="N745" s="141">
        <f t="shared" si="24"/>
        <v>489</v>
      </c>
    </row>
    <row r="746" spans="1:14" ht="15">
      <c r="A746" s="159"/>
      <c r="B746" s="143" t="str">
        <f t="shared" si="23"/>
        <v>490.</v>
      </c>
      <c r="C746" s="205" t="s">
        <v>938</v>
      </c>
      <c r="D746" s="162"/>
      <c r="E746" s="163"/>
      <c r="F746" s="159"/>
      <c r="G746" s="164"/>
      <c r="H746" s="204" t="s">
        <v>940</v>
      </c>
      <c r="I746" s="211">
        <v>2024</v>
      </c>
      <c r="J746" s="208">
        <v>5247</v>
      </c>
      <c r="K746" s="159"/>
      <c r="L746" s="204" t="s">
        <v>942</v>
      </c>
      <c r="N746" s="141">
        <f t="shared" si="24"/>
        <v>490</v>
      </c>
    </row>
    <row r="747" spans="1:14" ht="15">
      <c r="A747" s="159"/>
      <c r="B747" s="143" t="str">
        <f t="shared" si="23"/>
        <v>491.</v>
      </c>
      <c r="C747" s="205" t="s">
        <v>938</v>
      </c>
      <c r="D747" s="162"/>
      <c r="E747" s="163"/>
      <c r="F747" s="159"/>
      <c r="G747" s="164"/>
      <c r="H747" s="204" t="s">
        <v>940</v>
      </c>
      <c r="I747" s="211">
        <v>2024</v>
      </c>
      <c r="J747" s="208">
        <v>5247</v>
      </c>
      <c r="K747" s="159"/>
      <c r="L747" s="204" t="s">
        <v>942</v>
      </c>
      <c r="N747" s="141">
        <f t="shared" si="24"/>
        <v>491</v>
      </c>
    </row>
    <row r="748" spans="1:14" ht="15">
      <c r="A748" s="159"/>
      <c r="B748" s="143" t="str">
        <f t="shared" si="23"/>
        <v>492.</v>
      </c>
      <c r="C748" s="205" t="s">
        <v>938</v>
      </c>
      <c r="D748" s="162"/>
      <c r="E748" s="163"/>
      <c r="F748" s="159"/>
      <c r="G748" s="164"/>
      <c r="H748" s="204" t="s">
        <v>940</v>
      </c>
      <c r="I748" s="211">
        <v>2024</v>
      </c>
      <c r="J748" s="208">
        <v>5247</v>
      </c>
      <c r="K748" s="159"/>
      <c r="L748" s="204" t="s">
        <v>942</v>
      </c>
      <c r="N748" s="141">
        <f t="shared" si="24"/>
        <v>492</v>
      </c>
    </row>
    <row r="749" spans="1:14" ht="15">
      <c r="A749" s="159"/>
      <c r="B749" s="143" t="str">
        <f t="shared" si="23"/>
        <v>493.</v>
      </c>
      <c r="C749" s="205" t="s">
        <v>938</v>
      </c>
      <c r="D749" s="162"/>
      <c r="E749" s="163"/>
      <c r="F749" s="159"/>
      <c r="G749" s="164"/>
      <c r="H749" s="204" t="s">
        <v>940</v>
      </c>
      <c r="I749" s="211">
        <v>2024</v>
      </c>
      <c r="J749" s="208">
        <v>5247</v>
      </c>
      <c r="K749" s="159"/>
      <c r="L749" s="204" t="s">
        <v>942</v>
      </c>
      <c r="N749" s="141">
        <f t="shared" si="24"/>
        <v>493</v>
      </c>
    </row>
    <row r="750" spans="1:14" ht="15">
      <c r="A750" s="159"/>
      <c r="B750" s="143" t="str">
        <f t="shared" si="23"/>
        <v>494.</v>
      </c>
      <c r="C750" s="205" t="s">
        <v>938</v>
      </c>
      <c r="D750" s="162"/>
      <c r="E750" s="163"/>
      <c r="F750" s="159"/>
      <c r="G750" s="164"/>
      <c r="H750" s="204" t="s">
        <v>940</v>
      </c>
      <c r="I750" s="211">
        <v>2024</v>
      </c>
      <c r="J750" s="208">
        <v>4737</v>
      </c>
      <c r="K750" s="159"/>
      <c r="L750" s="204" t="s">
        <v>942</v>
      </c>
      <c r="N750" s="141">
        <f t="shared" si="24"/>
        <v>494</v>
      </c>
    </row>
    <row r="751" spans="1:14" ht="15">
      <c r="A751" s="159"/>
      <c r="B751" s="143" t="str">
        <f t="shared" si="23"/>
        <v>495.</v>
      </c>
      <c r="C751" s="205" t="s">
        <v>938</v>
      </c>
      <c r="D751" s="162"/>
      <c r="E751" s="163"/>
      <c r="F751" s="159"/>
      <c r="G751" s="164"/>
      <c r="H751" s="204" t="s">
        <v>940</v>
      </c>
      <c r="I751" s="211">
        <v>2024</v>
      </c>
      <c r="J751" s="208">
        <v>6952</v>
      </c>
      <c r="K751" s="159"/>
      <c r="L751" s="204" t="s">
        <v>942</v>
      </c>
      <c r="N751" s="141">
        <f t="shared" si="24"/>
        <v>495</v>
      </c>
    </row>
    <row r="752" spans="1:14" ht="15">
      <c r="A752" s="159"/>
      <c r="B752" s="143" t="str">
        <f t="shared" si="23"/>
        <v>496.</v>
      </c>
      <c r="C752" s="205" t="s">
        <v>938</v>
      </c>
      <c r="D752" s="162"/>
      <c r="E752" s="163"/>
      <c r="F752" s="159"/>
      <c r="G752" s="164"/>
      <c r="H752" s="204" t="s">
        <v>940</v>
      </c>
      <c r="I752" s="211">
        <v>2024</v>
      </c>
      <c r="J752" s="208">
        <v>5247</v>
      </c>
      <c r="K752" s="159"/>
      <c r="L752" s="204" t="s">
        <v>942</v>
      </c>
      <c r="N752" s="141">
        <f t="shared" si="24"/>
        <v>496</v>
      </c>
    </row>
    <row r="753" spans="1:14" ht="15">
      <c r="A753" s="159"/>
      <c r="B753" s="143" t="str">
        <f t="shared" si="23"/>
        <v>497.</v>
      </c>
      <c r="C753" s="205" t="s">
        <v>938</v>
      </c>
      <c r="D753" s="162"/>
      <c r="E753" s="163"/>
      <c r="F753" s="159"/>
      <c r="G753" s="164"/>
      <c r="H753" s="204" t="s">
        <v>940</v>
      </c>
      <c r="I753" s="211">
        <v>2024</v>
      </c>
      <c r="J753" s="208">
        <v>6952</v>
      </c>
      <c r="K753" s="159"/>
      <c r="L753" s="204" t="s">
        <v>942</v>
      </c>
      <c r="N753" s="141">
        <f t="shared" si="24"/>
        <v>497</v>
      </c>
    </row>
    <row r="754" spans="1:14" ht="15">
      <c r="A754" s="159"/>
      <c r="B754" s="143" t="str">
        <f t="shared" si="23"/>
        <v>498.</v>
      </c>
      <c r="C754" s="205" t="s">
        <v>938</v>
      </c>
      <c r="D754" s="162"/>
      <c r="E754" s="163"/>
      <c r="F754" s="159"/>
      <c r="G754" s="164"/>
      <c r="H754" s="204" t="s">
        <v>940</v>
      </c>
      <c r="I754" s="211">
        <v>2024</v>
      </c>
      <c r="J754" s="208">
        <v>6952</v>
      </c>
      <c r="K754" s="159"/>
      <c r="L754" s="204" t="s">
        <v>942</v>
      </c>
      <c r="N754" s="141">
        <f t="shared" si="24"/>
        <v>498</v>
      </c>
    </row>
    <row r="755" spans="1:14" ht="15">
      <c r="A755" s="159"/>
      <c r="B755" s="143" t="str">
        <f t="shared" si="23"/>
        <v>499.</v>
      </c>
      <c r="C755" s="205" t="s">
        <v>938</v>
      </c>
      <c r="D755" s="162"/>
      <c r="E755" s="163"/>
      <c r="F755" s="159"/>
      <c r="G755" s="164"/>
      <c r="H755" s="204" t="s">
        <v>940</v>
      </c>
      <c r="I755" s="211">
        <v>2024</v>
      </c>
      <c r="J755" s="208">
        <v>4737</v>
      </c>
      <c r="K755" s="159"/>
      <c r="L755" s="204" t="s">
        <v>942</v>
      </c>
      <c r="N755" s="141">
        <f t="shared" si="24"/>
        <v>499</v>
      </c>
    </row>
    <row r="756" spans="1:14" ht="15">
      <c r="A756" s="159"/>
      <c r="B756" s="143" t="str">
        <f t="shared" si="23"/>
        <v>500.</v>
      </c>
      <c r="C756" s="205" t="s">
        <v>938</v>
      </c>
      <c r="D756" s="162"/>
      <c r="E756" s="163"/>
      <c r="F756" s="159"/>
      <c r="G756" s="164"/>
      <c r="H756" s="204" t="s">
        <v>940</v>
      </c>
      <c r="I756" s="211">
        <v>2024</v>
      </c>
      <c r="J756" s="208">
        <v>5247</v>
      </c>
      <c r="K756" s="159"/>
      <c r="L756" s="204" t="s">
        <v>942</v>
      </c>
      <c r="N756" s="141">
        <f t="shared" si="24"/>
        <v>500</v>
      </c>
    </row>
    <row r="757" spans="1:14" ht="15">
      <c r="A757" s="159"/>
      <c r="B757" s="143" t="str">
        <f t="shared" si="23"/>
        <v>501.</v>
      </c>
      <c r="C757" s="205" t="s">
        <v>938</v>
      </c>
      <c r="D757" s="162"/>
      <c r="E757" s="163"/>
      <c r="F757" s="159"/>
      <c r="G757" s="164"/>
      <c r="H757" s="204" t="s">
        <v>940</v>
      </c>
      <c r="I757" s="211">
        <v>2024</v>
      </c>
      <c r="J757" s="208">
        <v>5247</v>
      </c>
      <c r="K757" s="159"/>
      <c r="L757" s="204" t="s">
        <v>942</v>
      </c>
      <c r="N757" s="141">
        <f t="shared" si="24"/>
        <v>501</v>
      </c>
    </row>
    <row r="758" spans="1:14" ht="15">
      <c r="A758" s="159"/>
      <c r="B758" s="143" t="str">
        <f t="shared" si="23"/>
        <v>502.</v>
      </c>
      <c r="C758" s="205" t="s">
        <v>938</v>
      </c>
      <c r="D758" s="162"/>
      <c r="E758" s="163"/>
      <c r="F758" s="159"/>
      <c r="G758" s="164"/>
      <c r="H758" s="204" t="s">
        <v>940</v>
      </c>
      <c r="I758" s="211">
        <v>2024</v>
      </c>
      <c r="J758" s="208">
        <v>6952</v>
      </c>
      <c r="K758" s="159"/>
      <c r="L758" s="204" t="s">
        <v>942</v>
      </c>
      <c r="N758" s="141">
        <f t="shared" si="24"/>
        <v>502</v>
      </c>
    </row>
    <row r="759" spans="1:14" ht="15">
      <c r="A759" s="159"/>
      <c r="B759" s="143" t="str">
        <f t="shared" si="23"/>
        <v>503.</v>
      </c>
      <c r="C759" s="205" t="s">
        <v>938</v>
      </c>
      <c r="D759" s="162"/>
      <c r="E759" s="163"/>
      <c r="F759" s="159"/>
      <c r="G759" s="164"/>
      <c r="H759" s="204" t="s">
        <v>940</v>
      </c>
      <c r="I759" s="211">
        <v>2024</v>
      </c>
      <c r="J759" s="208">
        <v>5247</v>
      </c>
      <c r="K759" s="159"/>
      <c r="L759" s="204" t="s">
        <v>942</v>
      </c>
      <c r="N759" s="141">
        <f t="shared" si="24"/>
        <v>503</v>
      </c>
    </row>
    <row r="760" spans="1:14" ht="15">
      <c r="A760" s="159"/>
      <c r="B760" s="143" t="str">
        <f t="shared" si="23"/>
        <v>504.</v>
      </c>
      <c r="C760" s="205" t="s">
        <v>938</v>
      </c>
      <c r="D760" s="162"/>
      <c r="E760" s="163"/>
      <c r="F760" s="159"/>
      <c r="G760" s="164"/>
      <c r="H760" s="204" t="s">
        <v>940</v>
      </c>
      <c r="I760" s="211">
        <v>2024</v>
      </c>
      <c r="J760" s="208">
        <v>4737</v>
      </c>
      <c r="K760" s="159"/>
      <c r="L760" s="204" t="s">
        <v>942</v>
      </c>
      <c r="N760" s="141">
        <f t="shared" si="24"/>
        <v>504</v>
      </c>
    </row>
    <row r="761" spans="1:14" ht="15">
      <c r="A761" s="159"/>
      <c r="B761" s="143" t="str">
        <f t="shared" si="23"/>
        <v>505.</v>
      </c>
      <c r="C761" s="205" t="s">
        <v>938</v>
      </c>
      <c r="D761" s="162"/>
      <c r="E761" s="163"/>
      <c r="F761" s="159"/>
      <c r="G761" s="164"/>
      <c r="H761" s="204" t="s">
        <v>940</v>
      </c>
      <c r="I761" s="211">
        <v>2024</v>
      </c>
      <c r="J761" s="208">
        <v>5809</v>
      </c>
      <c r="K761" s="159"/>
      <c r="L761" s="204" t="s">
        <v>942</v>
      </c>
      <c r="N761" s="141">
        <f t="shared" si="24"/>
        <v>505</v>
      </c>
    </row>
    <row r="762" spans="1:14" ht="15">
      <c r="A762" s="159"/>
      <c r="B762" s="143" t="str">
        <f t="shared" si="23"/>
        <v>506.</v>
      </c>
      <c r="C762" s="205" t="s">
        <v>938</v>
      </c>
      <c r="D762" s="162"/>
      <c r="E762" s="163"/>
      <c r="F762" s="159"/>
      <c r="G762" s="164"/>
      <c r="H762" s="204" t="s">
        <v>940</v>
      </c>
      <c r="I762" s="211">
        <v>2024</v>
      </c>
      <c r="J762" s="208">
        <v>6952</v>
      </c>
      <c r="K762" s="159"/>
      <c r="L762" s="204" t="s">
        <v>942</v>
      </c>
      <c r="N762" s="141">
        <f t="shared" si="24"/>
        <v>506</v>
      </c>
    </row>
    <row r="763" spans="1:14" ht="15">
      <c r="A763" s="159"/>
      <c r="B763" s="143" t="str">
        <f t="shared" si="23"/>
        <v>507.</v>
      </c>
      <c r="C763" s="205" t="s">
        <v>938</v>
      </c>
      <c r="D763" s="162"/>
      <c r="E763" s="163"/>
      <c r="F763" s="159"/>
      <c r="G763" s="164"/>
      <c r="H763" s="204" t="s">
        <v>940</v>
      </c>
      <c r="I763" s="211">
        <v>2024</v>
      </c>
      <c r="J763" s="208">
        <v>5247</v>
      </c>
      <c r="K763" s="159"/>
      <c r="L763" s="204" t="s">
        <v>942</v>
      </c>
      <c r="N763" s="141">
        <f t="shared" si="24"/>
        <v>507</v>
      </c>
    </row>
    <row r="764" spans="1:14" ht="15">
      <c r="A764" s="159"/>
      <c r="B764" s="143" t="str">
        <f t="shared" si="23"/>
        <v>508.</v>
      </c>
      <c r="C764" s="205" t="s">
        <v>938</v>
      </c>
      <c r="D764" s="162"/>
      <c r="E764" s="163"/>
      <c r="F764" s="159"/>
      <c r="G764" s="164"/>
      <c r="H764" s="204" t="s">
        <v>940</v>
      </c>
      <c r="I764" s="211">
        <v>2024</v>
      </c>
      <c r="J764" s="208">
        <v>4737</v>
      </c>
      <c r="K764" s="159"/>
      <c r="L764" s="204" t="s">
        <v>942</v>
      </c>
      <c r="N764" s="141">
        <f t="shared" si="24"/>
        <v>508</v>
      </c>
    </row>
    <row r="765" spans="1:14" ht="15">
      <c r="A765" s="159"/>
      <c r="B765" s="143" t="str">
        <f t="shared" si="23"/>
        <v>509.</v>
      </c>
      <c r="C765" s="205" t="s">
        <v>938</v>
      </c>
      <c r="D765" s="162"/>
      <c r="E765" s="163"/>
      <c r="F765" s="159"/>
      <c r="G765" s="164"/>
      <c r="H765" s="204" t="s">
        <v>940</v>
      </c>
      <c r="I765" s="211">
        <v>2024</v>
      </c>
      <c r="J765" s="208">
        <v>4737</v>
      </c>
      <c r="K765" s="159"/>
      <c r="L765" s="204" t="s">
        <v>942</v>
      </c>
      <c r="N765" s="141">
        <f t="shared" si="24"/>
        <v>509</v>
      </c>
    </row>
    <row r="766" spans="1:14" ht="15">
      <c r="A766" s="159"/>
      <c r="B766" s="143" t="str">
        <f t="shared" si="23"/>
        <v>510.</v>
      </c>
      <c r="C766" s="205" t="s">
        <v>938</v>
      </c>
      <c r="D766" s="162"/>
      <c r="E766" s="163"/>
      <c r="F766" s="159"/>
      <c r="G766" s="164"/>
      <c r="H766" s="204" t="s">
        <v>940</v>
      </c>
      <c r="I766" s="211">
        <v>2024</v>
      </c>
      <c r="J766" s="208">
        <v>5247</v>
      </c>
      <c r="K766" s="159"/>
      <c r="L766" s="204" t="s">
        <v>942</v>
      </c>
      <c r="N766" s="141">
        <f t="shared" si="24"/>
        <v>510</v>
      </c>
    </row>
    <row r="767" spans="1:14" ht="15">
      <c r="A767" s="159"/>
      <c r="B767" s="143" t="str">
        <f t="shared" si="23"/>
        <v>511.</v>
      </c>
      <c r="C767" s="205" t="s">
        <v>938</v>
      </c>
      <c r="D767" s="162"/>
      <c r="E767" s="163"/>
      <c r="F767" s="159"/>
      <c r="G767" s="164"/>
      <c r="H767" s="204" t="s">
        <v>940</v>
      </c>
      <c r="I767" s="211">
        <v>2024</v>
      </c>
      <c r="J767" s="208">
        <v>4737</v>
      </c>
      <c r="K767" s="159"/>
      <c r="L767" s="204" t="s">
        <v>942</v>
      </c>
      <c r="N767" s="141">
        <f t="shared" si="24"/>
        <v>511</v>
      </c>
    </row>
    <row r="768" spans="1:14" ht="15">
      <c r="A768" s="159"/>
      <c r="B768" s="143" t="str">
        <f t="shared" si="23"/>
        <v>512.</v>
      </c>
      <c r="C768" s="205" t="s">
        <v>938</v>
      </c>
      <c r="D768" s="162"/>
      <c r="E768" s="163"/>
      <c r="F768" s="159"/>
      <c r="G768" s="164"/>
      <c r="H768" s="204" t="s">
        <v>940</v>
      </c>
      <c r="I768" s="211">
        <v>2024</v>
      </c>
      <c r="J768" s="208">
        <v>5247</v>
      </c>
      <c r="K768" s="159"/>
      <c r="L768" s="204" t="s">
        <v>942</v>
      </c>
      <c r="N768" s="141">
        <f t="shared" si="24"/>
        <v>512</v>
      </c>
    </row>
    <row r="769" spans="1:14" ht="15">
      <c r="A769" s="159"/>
      <c r="B769" s="143" t="str">
        <f t="shared" ref="B769:B832" si="25">N769&amp;"."</f>
        <v>513.</v>
      </c>
      <c r="C769" s="205" t="s">
        <v>938</v>
      </c>
      <c r="D769" s="162"/>
      <c r="E769" s="163"/>
      <c r="F769" s="159"/>
      <c r="G769" s="164"/>
      <c r="H769" s="204" t="s">
        <v>940</v>
      </c>
      <c r="I769" s="211">
        <v>2024</v>
      </c>
      <c r="J769" s="208">
        <v>5247</v>
      </c>
      <c r="K769" s="159"/>
      <c r="L769" s="204" t="s">
        <v>942</v>
      </c>
      <c r="N769" s="141">
        <f t="shared" si="24"/>
        <v>513</v>
      </c>
    </row>
    <row r="770" spans="1:14" ht="15">
      <c r="A770" s="159"/>
      <c r="B770" s="143" t="str">
        <f t="shared" si="25"/>
        <v>514.</v>
      </c>
      <c r="C770" s="205" t="s">
        <v>938</v>
      </c>
      <c r="D770" s="162"/>
      <c r="E770" s="163"/>
      <c r="F770" s="159"/>
      <c r="G770" s="164"/>
      <c r="H770" s="204" t="s">
        <v>940</v>
      </c>
      <c r="I770" s="211">
        <v>2024</v>
      </c>
      <c r="J770" s="208">
        <v>5247</v>
      </c>
      <c r="K770" s="159"/>
      <c r="L770" s="204" t="s">
        <v>942</v>
      </c>
      <c r="N770" s="141">
        <f t="shared" si="24"/>
        <v>514</v>
      </c>
    </row>
    <row r="771" spans="1:14" ht="15">
      <c r="A771" s="159"/>
      <c r="B771" s="143" t="str">
        <f t="shared" si="25"/>
        <v>515.</v>
      </c>
      <c r="C771" s="205" t="s">
        <v>938</v>
      </c>
      <c r="D771" s="162"/>
      <c r="E771" s="163"/>
      <c r="F771" s="159"/>
      <c r="G771" s="164"/>
      <c r="H771" s="204" t="s">
        <v>940</v>
      </c>
      <c r="I771" s="211">
        <v>2024</v>
      </c>
      <c r="J771" s="208">
        <v>6952</v>
      </c>
      <c r="K771" s="159"/>
      <c r="L771" s="204" t="s">
        <v>942</v>
      </c>
      <c r="N771" s="141">
        <f t="shared" ref="N771:N834" si="26">N770+1</f>
        <v>515</v>
      </c>
    </row>
    <row r="772" spans="1:14" ht="15">
      <c r="A772" s="159"/>
      <c r="B772" s="143" t="str">
        <f t="shared" si="25"/>
        <v>516.</v>
      </c>
      <c r="C772" s="205" t="s">
        <v>938</v>
      </c>
      <c r="D772" s="162"/>
      <c r="E772" s="163"/>
      <c r="F772" s="159"/>
      <c r="G772" s="164"/>
      <c r="H772" s="204" t="s">
        <v>940</v>
      </c>
      <c r="I772" s="211">
        <v>2024</v>
      </c>
      <c r="J772" s="208">
        <v>5247</v>
      </c>
      <c r="K772" s="159"/>
      <c r="L772" s="204" t="s">
        <v>942</v>
      </c>
      <c r="N772" s="141">
        <f t="shared" si="26"/>
        <v>516</v>
      </c>
    </row>
    <row r="773" spans="1:14" ht="15">
      <c r="A773" s="159"/>
      <c r="B773" s="143" t="str">
        <f t="shared" si="25"/>
        <v>517.</v>
      </c>
      <c r="C773" s="205" t="s">
        <v>938</v>
      </c>
      <c r="D773" s="162"/>
      <c r="E773" s="163"/>
      <c r="F773" s="159"/>
      <c r="G773" s="164"/>
      <c r="H773" s="204" t="s">
        <v>940</v>
      </c>
      <c r="I773" s="211">
        <v>2024</v>
      </c>
      <c r="J773" s="208">
        <v>6952</v>
      </c>
      <c r="K773" s="159"/>
      <c r="L773" s="204" t="s">
        <v>942</v>
      </c>
      <c r="N773" s="141">
        <f t="shared" si="26"/>
        <v>517</v>
      </c>
    </row>
    <row r="774" spans="1:14" ht="15">
      <c r="A774" s="159"/>
      <c r="B774" s="143" t="str">
        <f t="shared" si="25"/>
        <v>518.</v>
      </c>
      <c r="C774" s="205" t="s">
        <v>938</v>
      </c>
      <c r="D774" s="162"/>
      <c r="E774" s="163"/>
      <c r="F774" s="159"/>
      <c r="G774" s="164"/>
      <c r="H774" s="204" t="s">
        <v>940</v>
      </c>
      <c r="I774" s="211">
        <v>2024</v>
      </c>
      <c r="J774" s="208">
        <v>4737</v>
      </c>
      <c r="K774" s="159"/>
      <c r="L774" s="204" t="s">
        <v>942</v>
      </c>
      <c r="N774" s="141">
        <f t="shared" si="26"/>
        <v>518</v>
      </c>
    </row>
    <row r="775" spans="1:14" ht="15">
      <c r="A775" s="159"/>
      <c r="B775" s="143" t="str">
        <f t="shared" si="25"/>
        <v>519.</v>
      </c>
      <c r="C775" s="205" t="s">
        <v>938</v>
      </c>
      <c r="D775" s="162"/>
      <c r="E775" s="163"/>
      <c r="F775" s="159"/>
      <c r="G775" s="164"/>
      <c r="H775" s="204" t="s">
        <v>940</v>
      </c>
      <c r="I775" s="211">
        <v>2024</v>
      </c>
      <c r="J775" s="208">
        <v>4737</v>
      </c>
      <c r="K775" s="159"/>
      <c r="L775" s="204" t="s">
        <v>942</v>
      </c>
      <c r="N775" s="141">
        <f t="shared" si="26"/>
        <v>519</v>
      </c>
    </row>
    <row r="776" spans="1:14" ht="15">
      <c r="A776" s="159"/>
      <c r="B776" s="143" t="str">
        <f t="shared" si="25"/>
        <v>520.</v>
      </c>
      <c r="C776" s="205" t="s">
        <v>938</v>
      </c>
      <c r="D776" s="162"/>
      <c r="E776" s="163"/>
      <c r="F776" s="159"/>
      <c r="G776" s="164"/>
      <c r="H776" s="204" t="s">
        <v>940</v>
      </c>
      <c r="I776" s="211">
        <v>2024</v>
      </c>
      <c r="J776" s="208">
        <v>4737</v>
      </c>
      <c r="K776" s="159"/>
      <c r="L776" s="204" t="s">
        <v>942</v>
      </c>
      <c r="N776" s="141">
        <f t="shared" si="26"/>
        <v>520</v>
      </c>
    </row>
    <row r="777" spans="1:14" ht="15">
      <c r="A777" s="159"/>
      <c r="B777" s="143" t="str">
        <f t="shared" si="25"/>
        <v>521.</v>
      </c>
      <c r="C777" s="205" t="s">
        <v>938</v>
      </c>
      <c r="D777" s="162"/>
      <c r="E777" s="163"/>
      <c r="F777" s="159"/>
      <c r="G777" s="164"/>
      <c r="H777" s="204" t="s">
        <v>940</v>
      </c>
      <c r="I777" s="211">
        <v>2024</v>
      </c>
      <c r="J777" s="208">
        <v>6952</v>
      </c>
      <c r="K777" s="159"/>
      <c r="L777" s="204" t="s">
        <v>942</v>
      </c>
      <c r="N777" s="141">
        <f t="shared" si="26"/>
        <v>521</v>
      </c>
    </row>
    <row r="778" spans="1:14" ht="15">
      <c r="A778" s="159"/>
      <c r="B778" s="143" t="str">
        <f t="shared" si="25"/>
        <v>522.</v>
      </c>
      <c r="C778" s="205" t="s">
        <v>938</v>
      </c>
      <c r="D778" s="162"/>
      <c r="E778" s="163"/>
      <c r="F778" s="159"/>
      <c r="G778" s="164"/>
      <c r="H778" s="204" t="s">
        <v>940</v>
      </c>
      <c r="I778" s="211">
        <v>2024</v>
      </c>
      <c r="J778" s="208">
        <v>4737</v>
      </c>
      <c r="K778" s="159"/>
      <c r="L778" s="204" t="s">
        <v>942</v>
      </c>
      <c r="N778" s="141">
        <f t="shared" si="26"/>
        <v>522</v>
      </c>
    </row>
    <row r="779" spans="1:14" ht="15">
      <c r="A779" s="159"/>
      <c r="B779" s="143" t="str">
        <f t="shared" si="25"/>
        <v>523.</v>
      </c>
      <c r="C779" s="205" t="s">
        <v>938</v>
      </c>
      <c r="D779" s="162"/>
      <c r="E779" s="163"/>
      <c r="F779" s="159"/>
      <c r="G779" s="164"/>
      <c r="H779" s="204" t="s">
        <v>940</v>
      </c>
      <c r="I779" s="211">
        <v>2024</v>
      </c>
      <c r="J779" s="208">
        <v>5247</v>
      </c>
      <c r="K779" s="159"/>
      <c r="L779" s="204" t="s">
        <v>942</v>
      </c>
      <c r="N779" s="141">
        <f t="shared" si="26"/>
        <v>523</v>
      </c>
    </row>
    <row r="780" spans="1:14" ht="15">
      <c r="A780" s="159"/>
      <c r="B780" s="143" t="str">
        <f t="shared" si="25"/>
        <v>524.</v>
      </c>
      <c r="C780" s="205" t="s">
        <v>938</v>
      </c>
      <c r="D780" s="162"/>
      <c r="E780" s="163"/>
      <c r="F780" s="159"/>
      <c r="G780" s="164"/>
      <c r="H780" s="204" t="s">
        <v>940</v>
      </c>
      <c r="I780" s="211">
        <v>2024</v>
      </c>
      <c r="J780" s="208">
        <v>5247</v>
      </c>
      <c r="K780" s="159"/>
      <c r="L780" s="204" t="s">
        <v>942</v>
      </c>
      <c r="N780" s="141">
        <f t="shared" si="26"/>
        <v>524</v>
      </c>
    </row>
    <row r="781" spans="1:14" ht="15">
      <c r="A781" s="159"/>
      <c r="B781" s="143" t="str">
        <f t="shared" si="25"/>
        <v>525.</v>
      </c>
      <c r="C781" s="205" t="s">
        <v>938</v>
      </c>
      <c r="D781" s="162"/>
      <c r="E781" s="163"/>
      <c r="F781" s="159"/>
      <c r="G781" s="164"/>
      <c r="H781" s="204" t="s">
        <v>940</v>
      </c>
      <c r="I781" s="211">
        <v>2024</v>
      </c>
      <c r="J781" s="208">
        <v>5247</v>
      </c>
      <c r="K781" s="159"/>
      <c r="L781" s="204" t="s">
        <v>942</v>
      </c>
      <c r="N781" s="141">
        <f t="shared" si="26"/>
        <v>525</v>
      </c>
    </row>
    <row r="782" spans="1:14" ht="15">
      <c r="A782" s="159"/>
      <c r="B782" s="143" t="str">
        <f t="shared" si="25"/>
        <v>526.</v>
      </c>
      <c r="C782" s="205" t="s">
        <v>938</v>
      </c>
      <c r="D782" s="162"/>
      <c r="E782" s="163"/>
      <c r="F782" s="159"/>
      <c r="G782" s="164"/>
      <c r="H782" s="204" t="s">
        <v>940</v>
      </c>
      <c r="I782" s="211">
        <v>2024</v>
      </c>
      <c r="J782" s="208">
        <v>5247</v>
      </c>
      <c r="K782" s="159"/>
      <c r="L782" s="204" t="s">
        <v>942</v>
      </c>
      <c r="N782" s="141">
        <f t="shared" si="26"/>
        <v>526</v>
      </c>
    </row>
    <row r="783" spans="1:14" ht="15">
      <c r="A783" s="159"/>
      <c r="B783" s="143" t="str">
        <f t="shared" si="25"/>
        <v>527.</v>
      </c>
      <c r="C783" s="205" t="s">
        <v>938</v>
      </c>
      <c r="D783" s="162"/>
      <c r="E783" s="163"/>
      <c r="F783" s="159"/>
      <c r="G783" s="164"/>
      <c r="H783" s="204" t="s">
        <v>940</v>
      </c>
      <c r="I783" s="211">
        <v>2024</v>
      </c>
      <c r="J783" s="208">
        <v>5247</v>
      </c>
      <c r="K783" s="159"/>
      <c r="L783" s="204" t="s">
        <v>942</v>
      </c>
      <c r="N783" s="141">
        <f t="shared" si="26"/>
        <v>527</v>
      </c>
    </row>
    <row r="784" spans="1:14" ht="15">
      <c r="A784" s="159"/>
      <c r="B784" s="143" t="str">
        <f t="shared" si="25"/>
        <v>528.</v>
      </c>
      <c r="C784" s="205" t="s">
        <v>938</v>
      </c>
      <c r="D784" s="162"/>
      <c r="E784" s="163"/>
      <c r="F784" s="159"/>
      <c r="G784" s="164"/>
      <c r="H784" s="204" t="s">
        <v>940</v>
      </c>
      <c r="I784" s="211">
        <v>2024</v>
      </c>
      <c r="J784" s="208">
        <v>6952</v>
      </c>
      <c r="K784" s="159"/>
      <c r="L784" s="204" t="s">
        <v>942</v>
      </c>
      <c r="N784" s="141">
        <f t="shared" si="26"/>
        <v>528</v>
      </c>
    </row>
    <row r="785" spans="1:14" ht="15">
      <c r="A785" s="159"/>
      <c r="B785" s="143" t="str">
        <f t="shared" si="25"/>
        <v>529.</v>
      </c>
      <c r="C785" s="205" t="s">
        <v>938</v>
      </c>
      <c r="D785" s="162"/>
      <c r="E785" s="163"/>
      <c r="F785" s="159"/>
      <c r="G785" s="164"/>
      <c r="H785" s="204" t="s">
        <v>940</v>
      </c>
      <c r="I785" s="211">
        <v>2024</v>
      </c>
      <c r="J785" s="208">
        <v>4737</v>
      </c>
      <c r="K785" s="159"/>
      <c r="L785" s="204" t="s">
        <v>942</v>
      </c>
      <c r="N785" s="141">
        <f t="shared" si="26"/>
        <v>529</v>
      </c>
    </row>
    <row r="786" spans="1:14" ht="15">
      <c r="A786" s="159"/>
      <c r="B786" s="143" t="str">
        <f t="shared" si="25"/>
        <v>530.</v>
      </c>
      <c r="C786" s="205" t="s">
        <v>938</v>
      </c>
      <c r="D786" s="162"/>
      <c r="E786" s="163"/>
      <c r="F786" s="159"/>
      <c r="G786" s="164"/>
      <c r="H786" s="204" t="s">
        <v>940</v>
      </c>
      <c r="I786" s="211">
        <v>2024</v>
      </c>
      <c r="J786" s="208">
        <v>6952</v>
      </c>
      <c r="K786" s="159"/>
      <c r="L786" s="204" t="s">
        <v>942</v>
      </c>
      <c r="N786" s="141">
        <f t="shared" si="26"/>
        <v>530</v>
      </c>
    </row>
    <row r="787" spans="1:14" ht="15">
      <c r="A787" s="159"/>
      <c r="B787" s="143" t="str">
        <f t="shared" si="25"/>
        <v>531.</v>
      </c>
      <c r="C787" s="205" t="s">
        <v>938</v>
      </c>
      <c r="D787" s="162"/>
      <c r="E787" s="163"/>
      <c r="F787" s="159"/>
      <c r="G787" s="164"/>
      <c r="H787" s="204" t="s">
        <v>940</v>
      </c>
      <c r="I787" s="211">
        <v>2024</v>
      </c>
      <c r="J787" s="208">
        <v>6952</v>
      </c>
      <c r="K787" s="159"/>
      <c r="L787" s="204" t="s">
        <v>942</v>
      </c>
      <c r="N787" s="141">
        <f t="shared" si="26"/>
        <v>531</v>
      </c>
    </row>
    <row r="788" spans="1:14" ht="15">
      <c r="A788" s="159"/>
      <c r="B788" s="143" t="str">
        <f t="shared" si="25"/>
        <v>532.</v>
      </c>
      <c r="C788" s="205" t="s">
        <v>938</v>
      </c>
      <c r="D788" s="162"/>
      <c r="E788" s="163"/>
      <c r="F788" s="159"/>
      <c r="G788" s="164"/>
      <c r="H788" s="204" t="s">
        <v>940</v>
      </c>
      <c r="I788" s="211">
        <v>2024</v>
      </c>
      <c r="J788" s="208">
        <v>4737</v>
      </c>
      <c r="K788" s="159"/>
      <c r="L788" s="204" t="s">
        <v>942</v>
      </c>
      <c r="N788" s="141">
        <f t="shared" si="26"/>
        <v>532</v>
      </c>
    </row>
    <row r="789" spans="1:14" ht="15">
      <c r="A789" s="159"/>
      <c r="B789" s="143" t="str">
        <f t="shared" si="25"/>
        <v>533.</v>
      </c>
      <c r="C789" s="205" t="s">
        <v>938</v>
      </c>
      <c r="D789" s="162"/>
      <c r="E789" s="163"/>
      <c r="F789" s="159"/>
      <c r="G789" s="164"/>
      <c r="H789" s="204" t="s">
        <v>940</v>
      </c>
      <c r="I789" s="211">
        <v>2024</v>
      </c>
      <c r="J789" s="208">
        <v>4737</v>
      </c>
      <c r="K789" s="159"/>
      <c r="L789" s="204" t="s">
        <v>942</v>
      </c>
      <c r="N789" s="141">
        <f t="shared" si="26"/>
        <v>533</v>
      </c>
    </row>
    <row r="790" spans="1:14" ht="15">
      <c r="A790" s="159"/>
      <c r="B790" s="143" t="str">
        <f t="shared" si="25"/>
        <v>534.</v>
      </c>
      <c r="C790" s="205" t="s">
        <v>938</v>
      </c>
      <c r="D790" s="162"/>
      <c r="E790" s="163"/>
      <c r="F790" s="159"/>
      <c r="G790" s="164"/>
      <c r="H790" s="204" t="s">
        <v>940</v>
      </c>
      <c r="I790" s="211">
        <v>2024</v>
      </c>
      <c r="J790" s="208">
        <v>6952</v>
      </c>
      <c r="K790" s="159"/>
      <c r="L790" s="204" t="s">
        <v>942</v>
      </c>
      <c r="N790" s="141">
        <f t="shared" si="26"/>
        <v>534</v>
      </c>
    </row>
    <row r="791" spans="1:14" ht="15">
      <c r="A791" s="159"/>
      <c r="B791" s="143" t="str">
        <f t="shared" si="25"/>
        <v>535.</v>
      </c>
      <c r="C791" s="205" t="s">
        <v>938</v>
      </c>
      <c r="D791" s="162"/>
      <c r="E791" s="163"/>
      <c r="F791" s="159"/>
      <c r="G791" s="164"/>
      <c r="H791" s="204" t="s">
        <v>940</v>
      </c>
      <c r="I791" s="211">
        <v>2024</v>
      </c>
      <c r="J791" s="208">
        <v>4737</v>
      </c>
      <c r="K791" s="159"/>
      <c r="L791" s="204" t="s">
        <v>942</v>
      </c>
      <c r="N791" s="141">
        <f t="shared" si="26"/>
        <v>535</v>
      </c>
    </row>
    <row r="792" spans="1:14" ht="15">
      <c r="A792" s="159"/>
      <c r="B792" s="143" t="str">
        <f t="shared" si="25"/>
        <v>536.</v>
      </c>
      <c r="C792" s="205" t="s">
        <v>938</v>
      </c>
      <c r="D792" s="162"/>
      <c r="E792" s="163"/>
      <c r="F792" s="159"/>
      <c r="G792" s="164"/>
      <c r="H792" s="204" t="s">
        <v>940</v>
      </c>
      <c r="I792" s="211">
        <v>2024</v>
      </c>
      <c r="J792" s="208">
        <v>4737</v>
      </c>
      <c r="K792" s="159"/>
      <c r="L792" s="204" t="s">
        <v>942</v>
      </c>
      <c r="N792" s="141">
        <f t="shared" si="26"/>
        <v>536</v>
      </c>
    </row>
    <row r="793" spans="1:14" ht="15">
      <c r="A793" s="159"/>
      <c r="B793" s="143" t="str">
        <f t="shared" si="25"/>
        <v>537.</v>
      </c>
      <c r="C793" s="205" t="s">
        <v>938</v>
      </c>
      <c r="D793" s="162"/>
      <c r="E793" s="163"/>
      <c r="F793" s="159"/>
      <c r="G793" s="164"/>
      <c r="H793" s="204" t="s">
        <v>940</v>
      </c>
      <c r="I793" s="211">
        <v>2024</v>
      </c>
      <c r="J793" s="208">
        <v>4737</v>
      </c>
      <c r="K793" s="159"/>
      <c r="L793" s="204" t="s">
        <v>942</v>
      </c>
      <c r="N793" s="141">
        <f t="shared" si="26"/>
        <v>537</v>
      </c>
    </row>
    <row r="794" spans="1:14" ht="15">
      <c r="A794" s="159"/>
      <c r="B794" s="143" t="str">
        <f t="shared" si="25"/>
        <v>538.</v>
      </c>
      <c r="C794" s="205" t="s">
        <v>938</v>
      </c>
      <c r="D794" s="162"/>
      <c r="E794" s="163"/>
      <c r="F794" s="159"/>
      <c r="G794" s="164"/>
      <c r="H794" s="204" t="s">
        <v>940</v>
      </c>
      <c r="I794" s="211">
        <v>2024</v>
      </c>
      <c r="J794" s="208">
        <v>4737</v>
      </c>
      <c r="K794" s="159"/>
      <c r="L794" s="204" t="s">
        <v>942</v>
      </c>
      <c r="N794" s="141">
        <f t="shared" si="26"/>
        <v>538</v>
      </c>
    </row>
    <row r="795" spans="1:14" ht="15">
      <c r="A795" s="159"/>
      <c r="B795" s="143" t="str">
        <f t="shared" si="25"/>
        <v>539.</v>
      </c>
      <c r="C795" s="205" t="s">
        <v>938</v>
      </c>
      <c r="D795" s="162"/>
      <c r="E795" s="163"/>
      <c r="F795" s="159"/>
      <c r="G795" s="164"/>
      <c r="H795" s="204" t="s">
        <v>940</v>
      </c>
      <c r="I795" s="211">
        <v>2024</v>
      </c>
      <c r="J795" s="208">
        <v>6952</v>
      </c>
      <c r="K795" s="159"/>
      <c r="L795" s="204" t="s">
        <v>942</v>
      </c>
      <c r="N795" s="141">
        <f t="shared" si="26"/>
        <v>539</v>
      </c>
    </row>
    <row r="796" spans="1:14" ht="15">
      <c r="A796" s="159"/>
      <c r="B796" s="143" t="str">
        <f t="shared" si="25"/>
        <v>540.</v>
      </c>
      <c r="C796" s="205" t="s">
        <v>938</v>
      </c>
      <c r="D796" s="162"/>
      <c r="E796" s="163"/>
      <c r="F796" s="159"/>
      <c r="G796" s="164"/>
      <c r="H796" s="204" t="s">
        <v>940</v>
      </c>
      <c r="I796" s="211">
        <v>2024</v>
      </c>
      <c r="J796" s="208">
        <v>8790</v>
      </c>
      <c r="K796" s="159"/>
      <c r="L796" s="204" t="s">
        <v>942</v>
      </c>
      <c r="N796" s="141">
        <f t="shared" si="26"/>
        <v>540</v>
      </c>
    </row>
    <row r="797" spans="1:14" ht="15">
      <c r="A797" s="159"/>
      <c r="B797" s="143" t="str">
        <f t="shared" si="25"/>
        <v>541.</v>
      </c>
      <c r="C797" s="205" t="s">
        <v>938</v>
      </c>
      <c r="D797" s="162"/>
      <c r="E797" s="163"/>
      <c r="F797" s="159"/>
      <c r="G797" s="164"/>
      <c r="H797" s="204" t="s">
        <v>940</v>
      </c>
      <c r="I797" s="211">
        <v>2024</v>
      </c>
      <c r="J797" s="208">
        <v>5247</v>
      </c>
      <c r="K797" s="159"/>
      <c r="L797" s="204" t="s">
        <v>942</v>
      </c>
      <c r="N797" s="141">
        <f t="shared" si="26"/>
        <v>541</v>
      </c>
    </row>
    <row r="798" spans="1:14" ht="15">
      <c r="A798" s="159"/>
      <c r="B798" s="143" t="str">
        <f t="shared" si="25"/>
        <v>542.</v>
      </c>
      <c r="C798" s="205" t="s">
        <v>938</v>
      </c>
      <c r="D798" s="162"/>
      <c r="E798" s="163"/>
      <c r="F798" s="159"/>
      <c r="G798" s="164"/>
      <c r="H798" s="204" t="s">
        <v>940</v>
      </c>
      <c r="I798" s="211">
        <v>2024</v>
      </c>
      <c r="J798" s="208">
        <v>4737</v>
      </c>
      <c r="K798" s="159"/>
      <c r="L798" s="204" t="s">
        <v>942</v>
      </c>
      <c r="N798" s="141">
        <f t="shared" si="26"/>
        <v>542</v>
      </c>
    </row>
    <row r="799" spans="1:14" ht="15">
      <c r="A799" s="159"/>
      <c r="B799" s="143" t="str">
        <f t="shared" si="25"/>
        <v>543.</v>
      </c>
      <c r="C799" s="205" t="s">
        <v>938</v>
      </c>
      <c r="D799" s="162"/>
      <c r="E799" s="163"/>
      <c r="F799" s="159"/>
      <c r="G799" s="164"/>
      <c r="H799" s="204" t="s">
        <v>940</v>
      </c>
      <c r="I799" s="211">
        <v>2024</v>
      </c>
      <c r="J799" s="208">
        <v>5247</v>
      </c>
      <c r="K799" s="159"/>
      <c r="L799" s="204" t="s">
        <v>942</v>
      </c>
      <c r="N799" s="141">
        <f t="shared" si="26"/>
        <v>543</v>
      </c>
    </row>
    <row r="800" spans="1:14" ht="15">
      <c r="A800" s="159"/>
      <c r="B800" s="143" t="str">
        <f t="shared" si="25"/>
        <v>544.</v>
      </c>
      <c r="C800" s="205" t="s">
        <v>938</v>
      </c>
      <c r="D800" s="162"/>
      <c r="E800" s="163"/>
      <c r="F800" s="159"/>
      <c r="G800" s="164"/>
      <c r="H800" s="204" t="s">
        <v>940</v>
      </c>
      <c r="I800" s="211">
        <v>2024</v>
      </c>
      <c r="J800" s="208">
        <v>5247</v>
      </c>
      <c r="K800" s="159"/>
      <c r="L800" s="204" t="s">
        <v>942</v>
      </c>
      <c r="N800" s="141">
        <f t="shared" si="26"/>
        <v>544</v>
      </c>
    </row>
    <row r="801" spans="1:14" ht="15">
      <c r="A801" s="159"/>
      <c r="B801" s="143" t="str">
        <f t="shared" si="25"/>
        <v>545.</v>
      </c>
      <c r="C801" s="205" t="s">
        <v>938</v>
      </c>
      <c r="D801" s="162"/>
      <c r="E801" s="163"/>
      <c r="F801" s="159"/>
      <c r="G801" s="164"/>
      <c r="H801" s="204" t="s">
        <v>940</v>
      </c>
      <c r="I801" s="211">
        <v>2024</v>
      </c>
      <c r="J801" s="208">
        <v>6952</v>
      </c>
      <c r="K801" s="159"/>
      <c r="L801" s="204" t="s">
        <v>942</v>
      </c>
      <c r="N801" s="141">
        <f t="shared" si="26"/>
        <v>545</v>
      </c>
    </row>
    <row r="802" spans="1:14" ht="15">
      <c r="A802" s="159"/>
      <c r="B802" s="143" t="str">
        <f t="shared" si="25"/>
        <v>546.</v>
      </c>
      <c r="C802" s="205" t="s">
        <v>938</v>
      </c>
      <c r="D802" s="162"/>
      <c r="E802" s="163"/>
      <c r="F802" s="159"/>
      <c r="G802" s="164"/>
      <c r="H802" s="204" t="s">
        <v>940</v>
      </c>
      <c r="I802" s="211">
        <v>2024</v>
      </c>
      <c r="J802" s="208">
        <v>6952</v>
      </c>
      <c r="K802" s="159"/>
      <c r="L802" s="204" t="s">
        <v>942</v>
      </c>
      <c r="N802" s="141">
        <f t="shared" si="26"/>
        <v>546</v>
      </c>
    </row>
    <row r="803" spans="1:14" ht="15">
      <c r="A803" s="159"/>
      <c r="B803" s="143" t="str">
        <f t="shared" si="25"/>
        <v>547.</v>
      </c>
      <c r="C803" s="205" t="s">
        <v>938</v>
      </c>
      <c r="D803" s="162"/>
      <c r="E803" s="163"/>
      <c r="F803" s="159"/>
      <c r="G803" s="164"/>
      <c r="H803" s="204" t="s">
        <v>940</v>
      </c>
      <c r="I803" s="211">
        <v>2024</v>
      </c>
      <c r="J803" s="208">
        <v>4737</v>
      </c>
      <c r="K803" s="159"/>
      <c r="L803" s="204" t="s">
        <v>942</v>
      </c>
      <c r="N803" s="141">
        <f t="shared" si="26"/>
        <v>547</v>
      </c>
    </row>
    <row r="804" spans="1:14" ht="15">
      <c r="A804" s="159"/>
      <c r="B804" s="143" t="str">
        <f t="shared" si="25"/>
        <v>548.</v>
      </c>
      <c r="C804" s="205" t="s">
        <v>938</v>
      </c>
      <c r="D804" s="162"/>
      <c r="E804" s="163"/>
      <c r="F804" s="159"/>
      <c r="G804" s="164"/>
      <c r="H804" s="204" t="s">
        <v>940</v>
      </c>
      <c r="I804" s="211">
        <v>2024</v>
      </c>
      <c r="J804" s="208">
        <v>6952</v>
      </c>
      <c r="K804" s="159"/>
      <c r="L804" s="204" t="s">
        <v>942</v>
      </c>
      <c r="N804" s="141">
        <f t="shared" si="26"/>
        <v>548</v>
      </c>
    </row>
    <row r="805" spans="1:14" ht="15">
      <c r="A805" s="159"/>
      <c r="B805" s="143" t="str">
        <f t="shared" si="25"/>
        <v>549.</v>
      </c>
      <c r="C805" s="205" t="s">
        <v>938</v>
      </c>
      <c r="D805" s="162"/>
      <c r="E805" s="163"/>
      <c r="F805" s="159"/>
      <c r="G805" s="164"/>
      <c r="H805" s="204" t="s">
        <v>940</v>
      </c>
      <c r="I805" s="211">
        <v>2024</v>
      </c>
      <c r="J805" s="208">
        <v>6952</v>
      </c>
      <c r="K805" s="159"/>
      <c r="L805" s="204" t="s">
        <v>942</v>
      </c>
      <c r="N805" s="141">
        <f t="shared" si="26"/>
        <v>549</v>
      </c>
    </row>
    <row r="806" spans="1:14" ht="15">
      <c r="A806" s="159"/>
      <c r="B806" s="143" t="str">
        <f t="shared" si="25"/>
        <v>550.</v>
      </c>
      <c r="C806" s="205" t="s">
        <v>938</v>
      </c>
      <c r="D806" s="162"/>
      <c r="E806" s="163"/>
      <c r="F806" s="159"/>
      <c r="G806" s="164"/>
      <c r="H806" s="204" t="s">
        <v>940</v>
      </c>
      <c r="I806" s="211">
        <v>2024</v>
      </c>
      <c r="J806" s="208">
        <v>6952</v>
      </c>
      <c r="K806" s="159"/>
      <c r="L806" s="204" t="s">
        <v>942</v>
      </c>
      <c r="N806" s="141">
        <f t="shared" si="26"/>
        <v>550</v>
      </c>
    </row>
    <row r="807" spans="1:14" ht="15">
      <c r="A807" s="159"/>
      <c r="B807" s="143" t="str">
        <f t="shared" si="25"/>
        <v>551.</v>
      </c>
      <c r="C807" s="205" t="s">
        <v>938</v>
      </c>
      <c r="D807" s="162"/>
      <c r="E807" s="163"/>
      <c r="F807" s="159"/>
      <c r="G807" s="164"/>
      <c r="H807" s="204" t="s">
        <v>940</v>
      </c>
      <c r="I807" s="211">
        <v>2024</v>
      </c>
      <c r="J807" s="208">
        <v>4737</v>
      </c>
      <c r="K807" s="159"/>
      <c r="L807" s="204" t="s">
        <v>942</v>
      </c>
      <c r="N807" s="141">
        <f t="shared" si="26"/>
        <v>551</v>
      </c>
    </row>
    <row r="808" spans="1:14" ht="15">
      <c r="A808" s="159"/>
      <c r="B808" s="143" t="str">
        <f t="shared" si="25"/>
        <v>552.</v>
      </c>
      <c r="C808" s="205" t="s">
        <v>938</v>
      </c>
      <c r="D808" s="162"/>
      <c r="E808" s="163"/>
      <c r="F808" s="159"/>
      <c r="G808" s="164"/>
      <c r="H808" s="204" t="s">
        <v>940</v>
      </c>
      <c r="I808" s="211">
        <v>2024</v>
      </c>
      <c r="J808" s="208">
        <v>6952</v>
      </c>
      <c r="K808" s="159"/>
      <c r="L808" s="204" t="s">
        <v>942</v>
      </c>
      <c r="N808" s="141">
        <f t="shared" si="26"/>
        <v>552</v>
      </c>
    </row>
    <row r="809" spans="1:14" ht="15">
      <c r="A809" s="159"/>
      <c r="B809" s="143" t="str">
        <f t="shared" si="25"/>
        <v>553.</v>
      </c>
      <c r="C809" s="205" t="s">
        <v>938</v>
      </c>
      <c r="D809" s="162"/>
      <c r="E809" s="163"/>
      <c r="F809" s="159"/>
      <c r="G809" s="164"/>
      <c r="H809" s="204" t="s">
        <v>940</v>
      </c>
      <c r="I809" s="211">
        <v>2024</v>
      </c>
      <c r="J809" s="208">
        <v>5247</v>
      </c>
      <c r="K809" s="159"/>
      <c r="L809" s="204" t="s">
        <v>942</v>
      </c>
      <c r="N809" s="141">
        <f t="shared" si="26"/>
        <v>553</v>
      </c>
    </row>
    <row r="810" spans="1:14" ht="15">
      <c r="A810" s="159"/>
      <c r="B810" s="143" t="str">
        <f t="shared" si="25"/>
        <v>554.</v>
      </c>
      <c r="C810" s="205" t="s">
        <v>938</v>
      </c>
      <c r="D810" s="162"/>
      <c r="E810" s="163"/>
      <c r="F810" s="159"/>
      <c r="G810" s="164"/>
      <c r="H810" s="204" t="s">
        <v>940</v>
      </c>
      <c r="I810" s="211">
        <v>2024</v>
      </c>
      <c r="J810" s="208">
        <v>4737</v>
      </c>
      <c r="K810" s="159"/>
      <c r="L810" s="204" t="s">
        <v>942</v>
      </c>
      <c r="N810" s="141">
        <f t="shared" si="26"/>
        <v>554</v>
      </c>
    </row>
    <row r="811" spans="1:14" ht="15">
      <c r="A811" s="159"/>
      <c r="B811" s="143" t="str">
        <f t="shared" si="25"/>
        <v>555.</v>
      </c>
      <c r="C811" s="205" t="s">
        <v>938</v>
      </c>
      <c r="D811" s="162"/>
      <c r="E811" s="163"/>
      <c r="F811" s="159"/>
      <c r="G811" s="164"/>
      <c r="H811" s="204" t="s">
        <v>940</v>
      </c>
      <c r="I811" s="211">
        <v>2024</v>
      </c>
      <c r="J811" s="208">
        <v>4737</v>
      </c>
      <c r="K811" s="159"/>
      <c r="L811" s="204" t="s">
        <v>942</v>
      </c>
      <c r="N811" s="141">
        <f t="shared" si="26"/>
        <v>555</v>
      </c>
    </row>
    <row r="812" spans="1:14" ht="15">
      <c r="A812" s="159"/>
      <c r="B812" s="143" t="str">
        <f t="shared" si="25"/>
        <v>556.</v>
      </c>
      <c r="C812" s="205" t="s">
        <v>938</v>
      </c>
      <c r="D812" s="162"/>
      <c r="E812" s="163"/>
      <c r="F812" s="159"/>
      <c r="G812" s="164"/>
      <c r="H812" s="204" t="s">
        <v>940</v>
      </c>
      <c r="I812" s="211">
        <v>2024</v>
      </c>
      <c r="J812" s="208">
        <v>6952</v>
      </c>
      <c r="K812" s="159"/>
      <c r="L812" s="204" t="s">
        <v>942</v>
      </c>
      <c r="N812" s="141">
        <f t="shared" si="26"/>
        <v>556</v>
      </c>
    </row>
    <row r="813" spans="1:14" ht="15">
      <c r="A813" s="159"/>
      <c r="B813" s="143" t="str">
        <f t="shared" si="25"/>
        <v>557.</v>
      </c>
      <c r="C813" s="205" t="s">
        <v>938</v>
      </c>
      <c r="D813" s="162"/>
      <c r="E813" s="163"/>
      <c r="F813" s="159"/>
      <c r="G813" s="164"/>
      <c r="H813" s="204" t="s">
        <v>940</v>
      </c>
      <c r="I813" s="211">
        <v>2024</v>
      </c>
      <c r="J813" s="208">
        <v>5247</v>
      </c>
      <c r="K813" s="159"/>
      <c r="L813" s="204" t="s">
        <v>942</v>
      </c>
      <c r="N813" s="141">
        <f t="shared" si="26"/>
        <v>557</v>
      </c>
    </row>
    <row r="814" spans="1:14" ht="15">
      <c r="A814" s="159"/>
      <c r="B814" s="143" t="str">
        <f t="shared" si="25"/>
        <v>558.</v>
      </c>
      <c r="C814" s="205" t="s">
        <v>938</v>
      </c>
      <c r="D814" s="162"/>
      <c r="E814" s="163"/>
      <c r="F814" s="159"/>
      <c r="G814" s="164"/>
      <c r="H814" s="204" t="s">
        <v>940</v>
      </c>
      <c r="I814" s="211">
        <v>2024</v>
      </c>
      <c r="J814" s="208">
        <v>6952</v>
      </c>
      <c r="K814" s="159"/>
      <c r="L814" s="204" t="s">
        <v>942</v>
      </c>
      <c r="N814" s="141">
        <f t="shared" si="26"/>
        <v>558</v>
      </c>
    </row>
    <row r="815" spans="1:14" ht="15">
      <c r="A815" s="159"/>
      <c r="B815" s="143" t="str">
        <f t="shared" si="25"/>
        <v>559.</v>
      </c>
      <c r="C815" s="205" t="s">
        <v>938</v>
      </c>
      <c r="D815" s="162"/>
      <c r="E815" s="163"/>
      <c r="F815" s="159"/>
      <c r="G815" s="164"/>
      <c r="H815" s="204" t="s">
        <v>940</v>
      </c>
      <c r="I815" s="211">
        <v>2024</v>
      </c>
      <c r="J815" s="208">
        <v>6952</v>
      </c>
      <c r="K815" s="159"/>
      <c r="L815" s="204" t="s">
        <v>942</v>
      </c>
      <c r="N815" s="141">
        <f t="shared" si="26"/>
        <v>559</v>
      </c>
    </row>
    <row r="816" spans="1:14" ht="15">
      <c r="A816" s="159"/>
      <c r="B816" s="143" t="str">
        <f t="shared" si="25"/>
        <v>560.</v>
      </c>
      <c r="C816" s="205" t="s">
        <v>938</v>
      </c>
      <c r="D816" s="162"/>
      <c r="E816" s="163"/>
      <c r="F816" s="159"/>
      <c r="G816" s="164"/>
      <c r="H816" s="204" t="s">
        <v>940</v>
      </c>
      <c r="I816" s="211">
        <v>2024</v>
      </c>
      <c r="J816" s="208">
        <v>6952</v>
      </c>
      <c r="K816" s="159"/>
      <c r="L816" s="204" t="s">
        <v>942</v>
      </c>
      <c r="N816" s="141">
        <f t="shared" si="26"/>
        <v>560</v>
      </c>
    </row>
    <row r="817" spans="1:14" ht="15">
      <c r="A817" s="159"/>
      <c r="B817" s="143" t="str">
        <f t="shared" si="25"/>
        <v>561.</v>
      </c>
      <c r="C817" s="205" t="s">
        <v>938</v>
      </c>
      <c r="D817" s="162"/>
      <c r="E817" s="163"/>
      <c r="F817" s="159"/>
      <c r="G817" s="164"/>
      <c r="H817" s="204" t="s">
        <v>940</v>
      </c>
      <c r="I817" s="211">
        <v>2024</v>
      </c>
      <c r="J817" s="208">
        <v>4737</v>
      </c>
      <c r="K817" s="159"/>
      <c r="L817" s="204" t="s">
        <v>942</v>
      </c>
      <c r="N817" s="141">
        <f t="shared" si="26"/>
        <v>561</v>
      </c>
    </row>
    <row r="818" spans="1:14" ht="15">
      <c r="A818" s="159"/>
      <c r="B818" s="143" t="str">
        <f t="shared" si="25"/>
        <v>562.</v>
      </c>
      <c r="C818" s="205" t="s">
        <v>938</v>
      </c>
      <c r="D818" s="162"/>
      <c r="E818" s="163"/>
      <c r="F818" s="159"/>
      <c r="G818" s="164"/>
      <c r="H818" s="204" t="s">
        <v>940</v>
      </c>
      <c r="I818" s="211">
        <v>2024</v>
      </c>
      <c r="J818" s="208">
        <v>4737</v>
      </c>
      <c r="K818" s="159"/>
      <c r="L818" s="204" t="s">
        <v>942</v>
      </c>
      <c r="N818" s="141">
        <f t="shared" si="26"/>
        <v>562</v>
      </c>
    </row>
    <row r="819" spans="1:14" ht="15">
      <c r="A819" s="159"/>
      <c r="B819" s="143" t="str">
        <f t="shared" si="25"/>
        <v>563.</v>
      </c>
      <c r="C819" s="205" t="s">
        <v>938</v>
      </c>
      <c r="D819" s="162"/>
      <c r="E819" s="163"/>
      <c r="F819" s="159"/>
      <c r="G819" s="164"/>
      <c r="H819" s="204" t="s">
        <v>940</v>
      </c>
      <c r="I819" s="211">
        <v>2024</v>
      </c>
      <c r="J819" s="208">
        <v>4737</v>
      </c>
      <c r="K819" s="159"/>
      <c r="L819" s="204" t="s">
        <v>942</v>
      </c>
      <c r="N819" s="141">
        <f t="shared" si="26"/>
        <v>563</v>
      </c>
    </row>
    <row r="820" spans="1:14" ht="15">
      <c r="A820" s="159"/>
      <c r="B820" s="143" t="str">
        <f t="shared" si="25"/>
        <v>564.</v>
      </c>
      <c r="C820" s="205" t="s">
        <v>938</v>
      </c>
      <c r="D820" s="162"/>
      <c r="E820" s="163"/>
      <c r="F820" s="159"/>
      <c r="G820" s="164"/>
      <c r="H820" s="204" t="s">
        <v>940</v>
      </c>
      <c r="I820" s="211">
        <v>2024</v>
      </c>
      <c r="J820" s="208">
        <v>4737</v>
      </c>
      <c r="K820" s="159"/>
      <c r="L820" s="204" t="s">
        <v>942</v>
      </c>
      <c r="N820" s="141">
        <f t="shared" si="26"/>
        <v>564</v>
      </c>
    </row>
    <row r="821" spans="1:14" ht="15">
      <c r="A821" s="159"/>
      <c r="B821" s="143" t="str">
        <f t="shared" si="25"/>
        <v>565.</v>
      </c>
      <c r="C821" s="205" t="s">
        <v>938</v>
      </c>
      <c r="D821" s="162"/>
      <c r="E821" s="163"/>
      <c r="F821" s="159"/>
      <c r="G821" s="164"/>
      <c r="H821" s="204" t="s">
        <v>940</v>
      </c>
      <c r="I821" s="211">
        <v>2024</v>
      </c>
      <c r="J821" s="208">
        <v>4737</v>
      </c>
      <c r="K821" s="159"/>
      <c r="L821" s="204" t="s">
        <v>942</v>
      </c>
      <c r="N821" s="141">
        <f t="shared" si="26"/>
        <v>565</v>
      </c>
    </row>
    <row r="822" spans="1:14" ht="15">
      <c r="A822" s="159"/>
      <c r="B822" s="143" t="str">
        <f t="shared" si="25"/>
        <v>566.</v>
      </c>
      <c r="C822" s="205" t="s">
        <v>938</v>
      </c>
      <c r="D822" s="162"/>
      <c r="E822" s="163"/>
      <c r="F822" s="159"/>
      <c r="G822" s="164"/>
      <c r="H822" s="204" t="s">
        <v>940</v>
      </c>
      <c r="I822" s="211">
        <v>2024</v>
      </c>
      <c r="J822" s="208">
        <v>5247</v>
      </c>
      <c r="K822" s="159"/>
      <c r="L822" s="204" t="s">
        <v>942</v>
      </c>
      <c r="N822" s="141">
        <f t="shared" si="26"/>
        <v>566</v>
      </c>
    </row>
    <row r="823" spans="1:14" ht="15">
      <c r="A823" s="159"/>
      <c r="B823" s="143" t="str">
        <f t="shared" si="25"/>
        <v>567.</v>
      </c>
      <c r="C823" s="205" t="s">
        <v>938</v>
      </c>
      <c r="D823" s="162"/>
      <c r="E823" s="163"/>
      <c r="F823" s="159"/>
      <c r="G823" s="164"/>
      <c r="H823" s="204" t="s">
        <v>940</v>
      </c>
      <c r="I823" s="211">
        <v>2024</v>
      </c>
      <c r="J823" s="208">
        <v>4737</v>
      </c>
      <c r="K823" s="159"/>
      <c r="L823" s="204" t="s">
        <v>942</v>
      </c>
      <c r="N823" s="141">
        <f t="shared" si="26"/>
        <v>567</v>
      </c>
    </row>
    <row r="824" spans="1:14" ht="15">
      <c r="A824" s="159"/>
      <c r="B824" s="143" t="str">
        <f t="shared" si="25"/>
        <v>568.</v>
      </c>
      <c r="C824" s="205" t="s">
        <v>938</v>
      </c>
      <c r="D824" s="162"/>
      <c r="E824" s="163"/>
      <c r="F824" s="159"/>
      <c r="G824" s="164"/>
      <c r="H824" s="204" t="s">
        <v>940</v>
      </c>
      <c r="I824" s="211">
        <v>2024</v>
      </c>
      <c r="J824" s="208">
        <v>6952</v>
      </c>
      <c r="K824" s="159"/>
      <c r="L824" s="204" t="s">
        <v>942</v>
      </c>
      <c r="N824" s="141">
        <f t="shared" si="26"/>
        <v>568</v>
      </c>
    </row>
    <row r="825" spans="1:14" ht="15">
      <c r="A825" s="159"/>
      <c r="B825" s="143" t="str">
        <f t="shared" si="25"/>
        <v>569.</v>
      </c>
      <c r="C825" s="205" t="s">
        <v>938</v>
      </c>
      <c r="D825" s="162"/>
      <c r="E825" s="163"/>
      <c r="F825" s="159"/>
      <c r="G825" s="164"/>
      <c r="H825" s="204" t="s">
        <v>940</v>
      </c>
      <c r="I825" s="211">
        <v>2024</v>
      </c>
      <c r="J825" s="208">
        <v>6952</v>
      </c>
      <c r="K825" s="159"/>
      <c r="L825" s="204" t="s">
        <v>942</v>
      </c>
      <c r="N825" s="141">
        <f t="shared" si="26"/>
        <v>569</v>
      </c>
    </row>
    <row r="826" spans="1:14" ht="15">
      <c r="A826" s="159"/>
      <c r="B826" s="143" t="str">
        <f t="shared" si="25"/>
        <v>570.</v>
      </c>
      <c r="C826" s="205" t="s">
        <v>938</v>
      </c>
      <c r="D826" s="162"/>
      <c r="E826" s="163"/>
      <c r="F826" s="159"/>
      <c r="G826" s="164"/>
      <c r="H826" s="204" t="s">
        <v>940</v>
      </c>
      <c r="I826" s="211">
        <v>2024</v>
      </c>
      <c r="J826" s="208">
        <v>5247</v>
      </c>
      <c r="K826" s="159"/>
      <c r="L826" s="204" t="s">
        <v>942</v>
      </c>
      <c r="N826" s="141">
        <f t="shared" si="26"/>
        <v>570</v>
      </c>
    </row>
    <row r="827" spans="1:14" ht="15">
      <c r="A827" s="159"/>
      <c r="B827" s="143" t="str">
        <f t="shared" si="25"/>
        <v>571.</v>
      </c>
      <c r="C827" s="205" t="s">
        <v>938</v>
      </c>
      <c r="D827" s="162"/>
      <c r="E827" s="163"/>
      <c r="F827" s="159"/>
      <c r="G827" s="164"/>
      <c r="H827" s="204" t="s">
        <v>940</v>
      </c>
      <c r="I827" s="211">
        <v>2024</v>
      </c>
      <c r="J827" s="208">
        <v>6952</v>
      </c>
      <c r="K827" s="159"/>
      <c r="L827" s="204" t="s">
        <v>942</v>
      </c>
      <c r="N827" s="141">
        <f t="shared" si="26"/>
        <v>571</v>
      </c>
    </row>
    <row r="828" spans="1:14" ht="15">
      <c r="A828" s="159"/>
      <c r="B828" s="143" t="str">
        <f t="shared" si="25"/>
        <v>572.</v>
      </c>
      <c r="C828" s="205" t="s">
        <v>938</v>
      </c>
      <c r="D828" s="162"/>
      <c r="E828" s="163"/>
      <c r="F828" s="159"/>
      <c r="G828" s="164"/>
      <c r="H828" s="204" t="s">
        <v>940</v>
      </c>
      <c r="I828" s="211">
        <v>2024</v>
      </c>
      <c r="J828" s="208">
        <v>5247</v>
      </c>
      <c r="K828" s="159"/>
      <c r="L828" s="204" t="s">
        <v>942</v>
      </c>
      <c r="N828" s="141">
        <f t="shared" si="26"/>
        <v>572</v>
      </c>
    </row>
    <row r="829" spans="1:14" ht="15">
      <c r="A829" s="159"/>
      <c r="B829" s="143" t="str">
        <f t="shared" si="25"/>
        <v>573.</v>
      </c>
      <c r="C829" s="205" t="s">
        <v>938</v>
      </c>
      <c r="D829" s="162"/>
      <c r="E829" s="163"/>
      <c r="F829" s="159"/>
      <c r="G829" s="164"/>
      <c r="H829" s="204" t="s">
        <v>940</v>
      </c>
      <c r="I829" s="211">
        <v>2024</v>
      </c>
      <c r="J829" s="208">
        <v>6952</v>
      </c>
      <c r="K829" s="159"/>
      <c r="L829" s="204" t="s">
        <v>942</v>
      </c>
      <c r="N829" s="141">
        <f t="shared" si="26"/>
        <v>573</v>
      </c>
    </row>
    <row r="830" spans="1:14" ht="15">
      <c r="A830" s="159"/>
      <c r="B830" s="143" t="str">
        <f t="shared" si="25"/>
        <v>574.</v>
      </c>
      <c r="C830" s="205" t="s">
        <v>938</v>
      </c>
      <c r="D830" s="162"/>
      <c r="E830" s="163"/>
      <c r="F830" s="159"/>
      <c r="G830" s="164"/>
      <c r="H830" s="204" t="s">
        <v>940</v>
      </c>
      <c r="I830" s="211">
        <v>2024</v>
      </c>
      <c r="J830" s="208">
        <v>4737</v>
      </c>
      <c r="K830" s="159"/>
      <c r="L830" s="204" t="s">
        <v>942</v>
      </c>
      <c r="N830" s="141">
        <f t="shared" si="26"/>
        <v>574</v>
      </c>
    </row>
    <row r="831" spans="1:14" ht="15">
      <c r="A831" s="159"/>
      <c r="B831" s="143" t="str">
        <f t="shared" si="25"/>
        <v>575.</v>
      </c>
      <c r="C831" s="205" t="s">
        <v>938</v>
      </c>
      <c r="D831" s="162"/>
      <c r="E831" s="163"/>
      <c r="F831" s="159"/>
      <c r="G831" s="164"/>
      <c r="H831" s="204" t="s">
        <v>940</v>
      </c>
      <c r="I831" s="211">
        <v>2024</v>
      </c>
      <c r="J831" s="208">
        <v>6952</v>
      </c>
      <c r="K831" s="159"/>
      <c r="L831" s="204" t="s">
        <v>942</v>
      </c>
      <c r="N831" s="141">
        <f t="shared" si="26"/>
        <v>575</v>
      </c>
    </row>
    <row r="832" spans="1:14" ht="15">
      <c r="A832" s="159"/>
      <c r="B832" s="143" t="str">
        <f t="shared" si="25"/>
        <v>576.</v>
      </c>
      <c r="C832" s="205" t="s">
        <v>938</v>
      </c>
      <c r="D832" s="162"/>
      <c r="E832" s="163"/>
      <c r="F832" s="159"/>
      <c r="G832" s="164"/>
      <c r="H832" s="204" t="s">
        <v>940</v>
      </c>
      <c r="I832" s="211">
        <v>2024</v>
      </c>
      <c r="J832" s="208">
        <v>5247</v>
      </c>
      <c r="K832" s="159"/>
      <c r="L832" s="204" t="s">
        <v>942</v>
      </c>
      <c r="N832" s="141">
        <f t="shared" si="26"/>
        <v>576</v>
      </c>
    </row>
    <row r="833" spans="1:14" ht="15">
      <c r="A833" s="159"/>
      <c r="B833" s="143" t="str">
        <f t="shared" ref="B833:B896" si="27">N833&amp;"."</f>
        <v>577.</v>
      </c>
      <c r="C833" s="205" t="s">
        <v>938</v>
      </c>
      <c r="D833" s="162"/>
      <c r="E833" s="163"/>
      <c r="F833" s="159"/>
      <c r="G833" s="164"/>
      <c r="H833" s="204" t="s">
        <v>940</v>
      </c>
      <c r="I833" s="211">
        <v>2024</v>
      </c>
      <c r="J833" s="208">
        <v>5247</v>
      </c>
      <c r="K833" s="159"/>
      <c r="L833" s="204" t="s">
        <v>942</v>
      </c>
      <c r="N833" s="141">
        <f t="shared" si="26"/>
        <v>577</v>
      </c>
    </row>
    <row r="834" spans="1:14" ht="15">
      <c r="A834" s="159"/>
      <c r="B834" s="143" t="str">
        <f t="shared" si="27"/>
        <v>578.</v>
      </c>
      <c r="C834" s="205" t="s">
        <v>938</v>
      </c>
      <c r="D834" s="162"/>
      <c r="E834" s="163"/>
      <c r="F834" s="159"/>
      <c r="G834" s="164"/>
      <c r="H834" s="204" t="s">
        <v>940</v>
      </c>
      <c r="I834" s="211">
        <v>2024</v>
      </c>
      <c r="J834" s="208">
        <v>5247</v>
      </c>
      <c r="K834" s="159"/>
      <c r="L834" s="204" t="s">
        <v>942</v>
      </c>
      <c r="N834" s="141">
        <f t="shared" si="26"/>
        <v>578</v>
      </c>
    </row>
    <row r="835" spans="1:14" ht="15">
      <c r="A835" s="159"/>
      <c r="B835" s="143" t="str">
        <f t="shared" si="27"/>
        <v>579.</v>
      </c>
      <c r="C835" s="205" t="s">
        <v>938</v>
      </c>
      <c r="D835" s="162"/>
      <c r="E835" s="163"/>
      <c r="F835" s="159"/>
      <c r="G835" s="164"/>
      <c r="H835" s="204" t="s">
        <v>940</v>
      </c>
      <c r="I835" s="211">
        <v>2024</v>
      </c>
      <c r="J835" s="208">
        <v>5247</v>
      </c>
      <c r="K835" s="159"/>
      <c r="L835" s="204" t="s">
        <v>942</v>
      </c>
      <c r="N835" s="141">
        <f t="shared" ref="N835:N898" si="28">N834+1</f>
        <v>579</v>
      </c>
    </row>
    <row r="836" spans="1:14" ht="15">
      <c r="A836" s="159"/>
      <c r="B836" s="143" t="str">
        <f t="shared" si="27"/>
        <v>580.</v>
      </c>
      <c r="C836" s="205" t="s">
        <v>938</v>
      </c>
      <c r="D836" s="162"/>
      <c r="E836" s="163"/>
      <c r="F836" s="159"/>
      <c r="G836" s="164"/>
      <c r="H836" s="204" t="s">
        <v>940</v>
      </c>
      <c r="I836" s="211">
        <v>2024</v>
      </c>
      <c r="J836" s="208">
        <v>5247</v>
      </c>
      <c r="K836" s="159"/>
      <c r="L836" s="204" t="s">
        <v>942</v>
      </c>
      <c r="N836" s="141">
        <f t="shared" si="28"/>
        <v>580</v>
      </c>
    </row>
    <row r="837" spans="1:14" ht="15">
      <c r="A837" s="159"/>
      <c r="B837" s="143" t="str">
        <f t="shared" si="27"/>
        <v>581.</v>
      </c>
      <c r="C837" s="205" t="s">
        <v>938</v>
      </c>
      <c r="D837" s="162"/>
      <c r="E837" s="163"/>
      <c r="F837" s="159"/>
      <c r="G837" s="164"/>
      <c r="H837" s="204" t="s">
        <v>940</v>
      </c>
      <c r="I837" s="211">
        <v>2024</v>
      </c>
      <c r="J837" s="208">
        <v>5247</v>
      </c>
      <c r="K837" s="159"/>
      <c r="L837" s="204" t="s">
        <v>942</v>
      </c>
      <c r="N837" s="141">
        <f t="shared" si="28"/>
        <v>581</v>
      </c>
    </row>
    <row r="838" spans="1:14" ht="15">
      <c r="A838" s="159"/>
      <c r="B838" s="143" t="str">
        <f t="shared" si="27"/>
        <v>582.</v>
      </c>
      <c r="C838" s="205" t="s">
        <v>938</v>
      </c>
      <c r="D838" s="162"/>
      <c r="E838" s="163"/>
      <c r="F838" s="159"/>
      <c r="G838" s="164"/>
      <c r="H838" s="204" t="s">
        <v>940</v>
      </c>
      <c r="I838" s="211">
        <v>2024</v>
      </c>
      <c r="J838" s="208">
        <v>5247</v>
      </c>
      <c r="K838" s="159"/>
      <c r="L838" s="204" t="s">
        <v>942</v>
      </c>
      <c r="N838" s="141">
        <f t="shared" si="28"/>
        <v>582</v>
      </c>
    </row>
    <row r="839" spans="1:14" ht="15">
      <c r="A839" s="159"/>
      <c r="B839" s="143" t="str">
        <f t="shared" si="27"/>
        <v>583.</v>
      </c>
      <c r="C839" s="205" t="s">
        <v>938</v>
      </c>
      <c r="D839" s="162"/>
      <c r="E839" s="163"/>
      <c r="F839" s="159"/>
      <c r="G839" s="164"/>
      <c r="H839" s="204" t="s">
        <v>940</v>
      </c>
      <c r="I839" s="211">
        <v>2024</v>
      </c>
      <c r="J839" s="208">
        <v>4737</v>
      </c>
      <c r="K839" s="159"/>
      <c r="L839" s="204" t="s">
        <v>942</v>
      </c>
      <c r="N839" s="141">
        <f t="shared" si="28"/>
        <v>583</v>
      </c>
    </row>
    <row r="840" spans="1:14" ht="15">
      <c r="A840" s="159"/>
      <c r="B840" s="143" t="str">
        <f t="shared" si="27"/>
        <v>584.</v>
      </c>
      <c r="C840" s="205" t="s">
        <v>938</v>
      </c>
      <c r="D840" s="162"/>
      <c r="E840" s="163"/>
      <c r="F840" s="159"/>
      <c r="G840" s="164"/>
      <c r="H840" s="204" t="s">
        <v>940</v>
      </c>
      <c r="I840" s="211">
        <v>2024</v>
      </c>
      <c r="J840" s="208">
        <v>0</v>
      </c>
      <c r="K840" s="159"/>
      <c r="L840" s="204" t="s">
        <v>942</v>
      </c>
      <c r="N840" s="141">
        <f t="shared" si="28"/>
        <v>584</v>
      </c>
    </row>
    <row r="841" spans="1:14" ht="15">
      <c r="A841" s="159"/>
      <c r="B841" s="143" t="str">
        <f t="shared" si="27"/>
        <v>585.</v>
      </c>
      <c r="C841" s="205" t="s">
        <v>938</v>
      </c>
      <c r="D841" s="162"/>
      <c r="E841" s="163"/>
      <c r="F841" s="159"/>
      <c r="G841" s="164"/>
      <c r="H841" s="204" t="s">
        <v>940</v>
      </c>
      <c r="I841" s="211">
        <v>2024</v>
      </c>
      <c r="J841" s="208">
        <v>4737</v>
      </c>
      <c r="K841" s="159"/>
      <c r="L841" s="204" t="s">
        <v>942</v>
      </c>
      <c r="N841" s="141">
        <f t="shared" si="28"/>
        <v>585</v>
      </c>
    </row>
    <row r="842" spans="1:14" ht="15">
      <c r="A842" s="159"/>
      <c r="B842" s="143" t="str">
        <f t="shared" si="27"/>
        <v>586.</v>
      </c>
      <c r="C842" s="205" t="s">
        <v>938</v>
      </c>
      <c r="D842" s="162"/>
      <c r="E842" s="163"/>
      <c r="F842" s="159"/>
      <c r="G842" s="164"/>
      <c r="H842" s="204" t="s">
        <v>940</v>
      </c>
      <c r="I842" s="211">
        <v>2024</v>
      </c>
      <c r="J842" s="208">
        <v>5247</v>
      </c>
      <c r="K842" s="159"/>
      <c r="L842" s="204" t="s">
        <v>942</v>
      </c>
      <c r="N842" s="141">
        <f t="shared" si="28"/>
        <v>586</v>
      </c>
    </row>
    <row r="843" spans="1:14" ht="15">
      <c r="A843" s="159"/>
      <c r="B843" s="143" t="str">
        <f t="shared" si="27"/>
        <v>587.</v>
      </c>
      <c r="C843" s="205" t="s">
        <v>938</v>
      </c>
      <c r="D843" s="162"/>
      <c r="E843" s="163"/>
      <c r="F843" s="159"/>
      <c r="G843" s="164"/>
      <c r="H843" s="204" t="s">
        <v>940</v>
      </c>
      <c r="I843" s="211">
        <v>2024</v>
      </c>
      <c r="J843" s="208">
        <v>4737</v>
      </c>
      <c r="K843" s="159"/>
      <c r="L843" s="204" t="s">
        <v>942</v>
      </c>
      <c r="N843" s="141">
        <f t="shared" si="28"/>
        <v>587</v>
      </c>
    </row>
    <row r="844" spans="1:14" ht="15">
      <c r="A844" s="159"/>
      <c r="B844" s="143" t="str">
        <f t="shared" si="27"/>
        <v>588.</v>
      </c>
      <c r="C844" s="205" t="s">
        <v>938</v>
      </c>
      <c r="D844" s="162"/>
      <c r="E844" s="163"/>
      <c r="F844" s="159"/>
      <c r="G844" s="164"/>
      <c r="H844" s="204" t="s">
        <v>940</v>
      </c>
      <c r="I844" s="211">
        <v>2024</v>
      </c>
      <c r="J844" s="208">
        <v>4737</v>
      </c>
      <c r="K844" s="159"/>
      <c r="L844" s="204" t="s">
        <v>942</v>
      </c>
      <c r="N844" s="141">
        <f t="shared" si="28"/>
        <v>588</v>
      </c>
    </row>
    <row r="845" spans="1:14" ht="15">
      <c r="A845" s="159"/>
      <c r="B845" s="143" t="str">
        <f t="shared" si="27"/>
        <v>589.</v>
      </c>
      <c r="C845" s="205" t="s">
        <v>938</v>
      </c>
      <c r="D845" s="162"/>
      <c r="E845" s="163"/>
      <c r="F845" s="159"/>
      <c r="G845" s="164"/>
      <c r="H845" s="204" t="s">
        <v>940</v>
      </c>
      <c r="I845" s="211">
        <v>2024</v>
      </c>
      <c r="J845" s="208">
        <v>5247</v>
      </c>
      <c r="K845" s="159"/>
      <c r="L845" s="204" t="s">
        <v>942</v>
      </c>
      <c r="N845" s="141">
        <f t="shared" si="28"/>
        <v>589</v>
      </c>
    </row>
    <row r="846" spans="1:14" ht="15">
      <c r="A846" s="159"/>
      <c r="B846" s="143" t="str">
        <f t="shared" si="27"/>
        <v>590.</v>
      </c>
      <c r="C846" s="205" t="s">
        <v>938</v>
      </c>
      <c r="D846" s="162"/>
      <c r="E846" s="163"/>
      <c r="F846" s="159"/>
      <c r="G846" s="164"/>
      <c r="H846" s="204" t="s">
        <v>940</v>
      </c>
      <c r="I846" s="211">
        <v>2024</v>
      </c>
      <c r="J846" s="208">
        <v>5156</v>
      </c>
      <c r="K846" s="159"/>
      <c r="L846" s="204" t="s">
        <v>942</v>
      </c>
      <c r="N846" s="141">
        <f t="shared" si="28"/>
        <v>590</v>
      </c>
    </row>
    <row r="847" spans="1:14" ht="15">
      <c r="A847" s="159"/>
      <c r="B847" s="143" t="str">
        <f t="shared" si="27"/>
        <v>591.</v>
      </c>
      <c r="C847" s="205" t="s">
        <v>938</v>
      </c>
      <c r="D847" s="162"/>
      <c r="E847" s="163"/>
      <c r="F847" s="159"/>
      <c r="G847" s="164"/>
      <c r="H847" s="204" t="s">
        <v>940</v>
      </c>
      <c r="I847" s="211">
        <v>2024</v>
      </c>
      <c r="J847" s="208">
        <v>4737</v>
      </c>
      <c r="K847" s="159"/>
      <c r="L847" s="204" t="s">
        <v>942</v>
      </c>
      <c r="N847" s="141">
        <f t="shared" si="28"/>
        <v>591</v>
      </c>
    </row>
    <row r="848" spans="1:14" ht="15">
      <c r="A848" s="159"/>
      <c r="B848" s="143" t="str">
        <f t="shared" si="27"/>
        <v>592.</v>
      </c>
      <c r="C848" s="205" t="s">
        <v>938</v>
      </c>
      <c r="D848" s="162"/>
      <c r="E848" s="163"/>
      <c r="F848" s="159"/>
      <c r="G848" s="164"/>
      <c r="H848" s="204" t="s">
        <v>940</v>
      </c>
      <c r="I848" s="211">
        <v>2024</v>
      </c>
      <c r="J848" s="208">
        <v>5247</v>
      </c>
      <c r="K848" s="159"/>
      <c r="L848" s="204" t="s">
        <v>942</v>
      </c>
      <c r="N848" s="141">
        <f t="shared" si="28"/>
        <v>592</v>
      </c>
    </row>
    <row r="849" spans="1:14" ht="15">
      <c r="A849" s="159"/>
      <c r="B849" s="143" t="str">
        <f t="shared" si="27"/>
        <v>593.</v>
      </c>
      <c r="C849" s="205" t="s">
        <v>938</v>
      </c>
      <c r="D849" s="162"/>
      <c r="E849" s="163"/>
      <c r="F849" s="159"/>
      <c r="G849" s="164"/>
      <c r="H849" s="204" t="s">
        <v>940</v>
      </c>
      <c r="I849" s="211">
        <v>2024</v>
      </c>
      <c r="J849" s="208">
        <v>5247</v>
      </c>
      <c r="K849" s="159"/>
      <c r="L849" s="204" t="s">
        <v>942</v>
      </c>
      <c r="N849" s="141">
        <f t="shared" si="28"/>
        <v>593</v>
      </c>
    </row>
    <row r="850" spans="1:14" ht="15">
      <c r="A850" s="159"/>
      <c r="B850" s="143" t="str">
        <f t="shared" si="27"/>
        <v>594.</v>
      </c>
      <c r="C850" s="205" t="s">
        <v>938</v>
      </c>
      <c r="D850" s="162"/>
      <c r="E850" s="163"/>
      <c r="F850" s="159"/>
      <c r="G850" s="164"/>
      <c r="H850" s="204" t="s">
        <v>940</v>
      </c>
      <c r="I850" s="211">
        <v>2024</v>
      </c>
      <c r="J850" s="208">
        <v>4737</v>
      </c>
      <c r="K850" s="159"/>
      <c r="L850" s="204" t="s">
        <v>942</v>
      </c>
      <c r="N850" s="141">
        <f t="shared" si="28"/>
        <v>594</v>
      </c>
    </row>
    <row r="851" spans="1:14" ht="15">
      <c r="A851" s="159"/>
      <c r="B851" s="143" t="str">
        <f t="shared" si="27"/>
        <v>595.</v>
      </c>
      <c r="C851" s="205" t="s">
        <v>938</v>
      </c>
      <c r="D851" s="162"/>
      <c r="E851" s="163"/>
      <c r="F851" s="159"/>
      <c r="G851" s="164"/>
      <c r="H851" s="204" t="s">
        <v>940</v>
      </c>
      <c r="I851" s="211">
        <v>2024</v>
      </c>
      <c r="J851" s="208">
        <v>5247</v>
      </c>
      <c r="K851" s="159"/>
      <c r="L851" s="204" t="s">
        <v>942</v>
      </c>
      <c r="N851" s="141">
        <f t="shared" si="28"/>
        <v>595</v>
      </c>
    </row>
    <row r="852" spans="1:14" ht="15">
      <c r="A852" s="159"/>
      <c r="B852" s="143" t="str">
        <f t="shared" si="27"/>
        <v>596.</v>
      </c>
      <c r="C852" s="205" t="s">
        <v>938</v>
      </c>
      <c r="D852" s="162"/>
      <c r="E852" s="163"/>
      <c r="F852" s="159"/>
      <c r="G852" s="164"/>
      <c r="H852" s="204" t="s">
        <v>940</v>
      </c>
      <c r="I852" s="211">
        <v>2024</v>
      </c>
      <c r="J852" s="208">
        <v>4737</v>
      </c>
      <c r="K852" s="159"/>
      <c r="L852" s="204" t="s">
        <v>942</v>
      </c>
      <c r="N852" s="141">
        <f t="shared" si="28"/>
        <v>596</v>
      </c>
    </row>
    <row r="853" spans="1:14" ht="15">
      <c r="A853" s="159"/>
      <c r="B853" s="143" t="str">
        <f t="shared" si="27"/>
        <v>597.</v>
      </c>
      <c r="C853" s="205" t="s">
        <v>938</v>
      </c>
      <c r="D853" s="162"/>
      <c r="E853" s="163"/>
      <c r="F853" s="159"/>
      <c r="G853" s="164"/>
      <c r="H853" s="204" t="s">
        <v>940</v>
      </c>
      <c r="I853" s="211">
        <v>2024</v>
      </c>
      <c r="J853" s="208">
        <v>5247</v>
      </c>
      <c r="K853" s="159"/>
      <c r="L853" s="204" t="s">
        <v>942</v>
      </c>
      <c r="N853" s="141">
        <f t="shared" si="28"/>
        <v>597</v>
      </c>
    </row>
    <row r="854" spans="1:14" ht="15">
      <c r="A854" s="159"/>
      <c r="B854" s="143" t="str">
        <f t="shared" si="27"/>
        <v>598.</v>
      </c>
      <c r="C854" s="205" t="s">
        <v>938</v>
      </c>
      <c r="D854" s="162"/>
      <c r="E854" s="163"/>
      <c r="F854" s="159"/>
      <c r="G854" s="164"/>
      <c r="H854" s="204" t="s">
        <v>940</v>
      </c>
      <c r="I854" s="211">
        <v>2024</v>
      </c>
      <c r="J854" s="208">
        <v>5247</v>
      </c>
      <c r="K854" s="159"/>
      <c r="L854" s="204" t="s">
        <v>942</v>
      </c>
      <c r="N854" s="141">
        <f t="shared" si="28"/>
        <v>598</v>
      </c>
    </row>
    <row r="855" spans="1:14" ht="15">
      <c r="A855" s="159"/>
      <c r="B855" s="143" t="str">
        <f t="shared" si="27"/>
        <v>599.</v>
      </c>
      <c r="C855" s="205" t="s">
        <v>938</v>
      </c>
      <c r="D855" s="162"/>
      <c r="E855" s="163"/>
      <c r="F855" s="159"/>
      <c r="G855" s="164"/>
      <c r="H855" s="204" t="s">
        <v>940</v>
      </c>
      <c r="I855" s="211">
        <v>2024</v>
      </c>
      <c r="J855" s="208">
        <v>4737</v>
      </c>
      <c r="K855" s="159"/>
      <c r="L855" s="204" t="s">
        <v>942</v>
      </c>
      <c r="N855" s="141">
        <f t="shared" si="28"/>
        <v>599</v>
      </c>
    </row>
    <row r="856" spans="1:14" ht="15">
      <c r="A856" s="159"/>
      <c r="B856" s="143" t="str">
        <f t="shared" si="27"/>
        <v>600.</v>
      </c>
      <c r="C856" s="205" t="s">
        <v>938</v>
      </c>
      <c r="D856" s="162"/>
      <c r="E856" s="163"/>
      <c r="F856" s="159"/>
      <c r="G856" s="164"/>
      <c r="H856" s="204" t="s">
        <v>940</v>
      </c>
      <c r="I856" s="211">
        <v>2024</v>
      </c>
      <c r="J856" s="208">
        <v>6952</v>
      </c>
      <c r="K856" s="159"/>
      <c r="L856" s="204" t="s">
        <v>942</v>
      </c>
      <c r="N856" s="141">
        <f t="shared" si="28"/>
        <v>600</v>
      </c>
    </row>
    <row r="857" spans="1:14" ht="15">
      <c r="A857" s="159"/>
      <c r="B857" s="143" t="str">
        <f t="shared" si="27"/>
        <v>601.</v>
      </c>
      <c r="C857" s="205" t="s">
        <v>938</v>
      </c>
      <c r="D857" s="162"/>
      <c r="E857" s="163"/>
      <c r="F857" s="159"/>
      <c r="G857" s="164"/>
      <c r="H857" s="204" t="s">
        <v>940</v>
      </c>
      <c r="I857" s="211">
        <v>2024</v>
      </c>
      <c r="J857" s="208">
        <v>4737</v>
      </c>
      <c r="K857" s="159"/>
      <c r="L857" s="204" t="s">
        <v>942</v>
      </c>
      <c r="N857" s="141">
        <f t="shared" si="28"/>
        <v>601</v>
      </c>
    </row>
    <row r="858" spans="1:14" ht="15">
      <c r="A858" s="159"/>
      <c r="B858" s="143" t="str">
        <f t="shared" si="27"/>
        <v>602.</v>
      </c>
      <c r="C858" s="205" t="s">
        <v>938</v>
      </c>
      <c r="D858" s="162"/>
      <c r="E858" s="163"/>
      <c r="F858" s="159"/>
      <c r="G858" s="164"/>
      <c r="H858" s="204" t="s">
        <v>940</v>
      </c>
      <c r="I858" s="211">
        <v>2024</v>
      </c>
      <c r="J858" s="208">
        <v>4737</v>
      </c>
      <c r="K858" s="159"/>
      <c r="L858" s="204" t="s">
        <v>942</v>
      </c>
      <c r="N858" s="141">
        <f t="shared" si="28"/>
        <v>602</v>
      </c>
    </row>
    <row r="859" spans="1:14" ht="15">
      <c r="A859" s="159"/>
      <c r="B859" s="143" t="str">
        <f t="shared" si="27"/>
        <v>603.</v>
      </c>
      <c r="C859" s="205" t="s">
        <v>938</v>
      </c>
      <c r="D859" s="162"/>
      <c r="E859" s="163"/>
      <c r="F859" s="159"/>
      <c r="G859" s="164"/>
      <c r="H859" s="204" t="s">
        <v>940</v>
      </c>
      <c r="I859" s="211">
        <v>2024</v>
      </c>
      <c r="J859" s="208">
        <v>5247</v>
      </c>
      <c r="K859" s="159"/>
      <c r="L859" s="204" t="s">
        <v>942</v>
      </c>
      <c r="N859" s="141">
        <f t="shared" si="28"/>
        <v>603</v>
      </c>
    </row>
    <row r="860" spans="1:14" ht="15">
      <c r="A860" s="159"/>
      <c r="B860" s="143" t="str">
        <f t="shared" si="27"/>
        <v>604.</v>
      </c>
      <c r="C860" s="205" t="s">
        <v>938</v>
      </c>
      <c r="D860" s="162"/>
      <c r="E860" s="163"/>
      <c r="F860" s="159"/>
      <c r="G860" s="164"/>
      <c r="H860" s="204" t="s">
        <v>940</v>
      </c>
      <c r="I860" s="211">
        <v>2024</v>
      </c>
      <c r="J860" s="208">
        <v>5247</v>
      </c>
      <c r="K860" s="159"/>
      <c r="L860" s="204" t="s">
        <v>942</v>
      </c>
      <c r="N860" s="141">
        <f t="shared" si="28"/>
        <v>604</v>
      </c>
    </row>
    <row r="861" spans="1:14" ht="15">
      <c r="A861" s="159"/>
      <c r="B861" s="143" t="str">
        <f t="shared" si="27"/>
        <v>605.</v>
      </c>
      <c r="C861" s="205" t="s">
        <v>938</v>
      </c>
      <c r="D861" s="162"/>
      <c r="E861" s="163"/>
      <c r="F861" s="159"/>
      <c r="G861" s="164"/>
      <c r="H861" s="204" t="s">
        <v>940</v>
      </c>
      <c r="I861" s="211">
        <v>2024</v>
      </c>
      <c r="J861" s="208">
        <v>6952</v>
      </c>
      <c r="K861" s="159"/>
      <c r="L861" s="204" t="s">
        <v>942</v>
      </c>
      <c r="N861" s="141">
        <f t="shared" si="28"/>
        <v>605</v>
      </c>
    </row>
    <row r="862" spans="1:14" ht="15">
      <c r="A862" s="159"/>
      <c r="B862" s="143" t="str">
        <f t="shared" si="27"/>
        <v>606.</v>
      </c>
      <c r="C862" s="205" t="s">
        <v>938</v>
      </c>
      <c r="D862" s="162"/>
      <c r="E862" s="163"/>
      <c r="F862" s="159"/>
      <c r="G862" s="164"/>
      <c r="H862" s="204" t="s">
        <v>940</v>
      </c>
      <c r="I862" s="211">
        <v>2024</v>
      </c>
      <c r="J862" s="208">
        <v>6952</v>
      </c>
      <c r="K862" s="159"/>
      <c r="L862" s="204" t="s">
        <v>942</v>
      </c>
      <c r="N862" s="141">
        <f t="shared" si="28"/>
        <v>606</v>
      </c>
    </row>
    <row r="863" spans="1:14" ht="15">
      <c r="A863" s="159"/>
      <c r="B863" s="143" t="str">
        <f t="shared" si="27"/>
        <v>607.</v>
      </c>
      <c r="C863" s="205" t="s">
        <v>938</v>
      </c>
      <c r="D863" s="162"/>
      <c r="E863" s="163"/>
      <c r="F863" s="159"/>
      <c r="G863" s="164"/>
      <c r="H863" s="204" t="s">
        <v>940</v>
      </c>
      <c r="I863" s="211">
        <v>2024</v>
      </c>
      <c r="J863" s="208">
        <v>6952</v>
      </c>
      <c r="K863" s="159"/>
      <c r="L863" s="204" t="s">
        <v>942</v>
      </c>
      <c r="N863" s="141">
        <f t="shared" si="28"/>
        <v>607</v>
      </c>
    </row>
    <row r="864" spans="1:14" ht="15">
      <c r="A864" s="159"/>
      <c r="B864" s="143" t="str">
        <f t="shared" si="27"/>
        <v>608.</v>
      </c>
      <c r="C864" s="205" t="s">
        <v>938</v>
      </c>
      <c r="D864" s="162"/>
      <c r="E864" s="163"/>
      <c r="F864" s="159"/>
      <c r="G864" s="164"/>
      <c r="H864" s="204" t="s">
        <v>940</v>
      </c>
      <c r="I864" s="211">
        <v>2024</v>
      </c>
      <c r="J864" s="208">
        <v>5247</v>
      </c>
      <c r="K864" s="159"/>
      <c r="L864" s="204" t="s">
        <v>942</v>
      </c>
      <c r="N864" s="141">
        <f t="shared" si="28"/>
        <v>608</v>
      </c>
    </row>
    <row r="865" spans="1:14" ht="15">
      <c r="A865" s="159"/>
      <c r="B865" s="143" t="str">
        <f t="shared" si="27"/>
        <v>609.</v>
      </c>
      <c r="C865" s="205" t="s">
        <v>938</v>
      </c>
      <c r="D865" s="162"/>
      <c r="E865" s="163"/>
      <c r="F865" s="159"/>
      <c r="G865" s="164"/>
      <c r="H865" s="204" t="s">
        <v>940</v>
      </c>
      <c r="I865" s="211">
        <v>2024</v>
      </c>
      <c r="J865" s="208">
        <v>4737</v>
      </c>
      <c r="K865" s="159"/>
      <c r="L865" s="204" t="s">
        <v>942</v>
      </c>
      <c r="N865" s="141">
        <f t="shared" si="28"/>
        <v>609</v>
      </c>
    </row>
    <row r="866" spans="1:14" ht="15">
      <c r="A866" s="159"/>
      <c r="B866" s="143" t="str">
        <f t="shared" si="27"/>
        <v>610.</v>
      </c>
      <c r="C866" s="205" t="s">
        <v>938</v>
      </c>
      <c r="D866" s="162"/>
      <c r="E866" s="163"/>
      <c r="F866" s="159"/>
      <c r="G866" s="164"/>
      <c r="H866" s="204" t="s">
        <v>940</v>
      </c>
      <c r="I866" s="211">
        <v>2024</v>
      </c>
      <c r="J866" s="208">
        <v>6952</v>
      </c>
      <c r="K866" s="159"/>
      <c r="L866" s="204" t="s">
        <v>942</v>
      </c>
      <c r="N866" s="141">
        <f t="shared" si="28"/>
        <v>610</v>
      </c>
    </row>
    <row r="867" spans="1:14" ht="15">
      <c r="A867" s="159"/>
      <c r="B867" s="143" t="str">
        <f t="shared" si="27"/>
        <v>611.</v>
      </c>
      <c r="C867" s="205" t="s">
        <v>938</v>
      </c>
      <c r="D867" s="162"/>
      <c r="E867" s="163"/>
      <c r="F867" s="159"/>
      <c r="G867" s="164"/>
      <c r="H867" s="204" t="s">
        <v>940</v>
      </c>
      <c r="I867" s="211">
        <v>2024</v>
      </c>
      <c r="J867" s="208">
        <v>4737</v>
      </c>
      <c r="K867" s="159"/>
      <c r="L867" s="204" t="s">
        <v>942</v>
      </c>
      <c r="N867" s="141">
        <f t="shared" si="28"/>
        <v>611</v>
      </c>
    </row>
    <row r="868" spans="1:14" ht="15">
      <c r="A868" s="159"/>
      <c r="B868" s="143" t="str">
        <f t="shared" si="27"/>
        <v>612.</v>
      </c>
      <c r="C868" s="205" t="s">
        <v>938</v>
      </c>
      <c r="D868" s="162"/>
      <c r="E868" s="163"/>
      <c r="F868" s="159"/>
      <c r="G868" s="164"/>
      <c r="H868" s="204" t="s">
        <v>940</v>
      </c>
      <c r="I868" s="211">
        <v>2024</v>
      </c>
      <c r="J868" s="208">
        <v>5247</v>
      </c>
      <c r="K868" s="159"/>
      <c r="L868" s="204" t="s">
        <v>942</v>
      </c>
      <c r="N868" s="141">
        <f t="shared" si="28"/>
        <v>612</v>
      </c>
    </row>
    <row r="869" spans="1:14" ht="15">
      <c r="A869" s="159"/>
      <c r="B869" s="143" t="str">
        <f t="shared" si="27"/>
        <v>613.</v>
      </c>
      <c r="C869" s="205" t="s">
        <v>938</v>
      </c>
      <c r="D869" s="162"/>
      <c r="E869" s="163"/>
      <c r="F869" s="159"/>
      <c r="G869" s="164"/>
      <c r="H869" s="204" t="s">
        <v>940</v>
      </c>
      <c r="I869" s="211">
        <v>2024</v>
      </c>
      <c r="J869" s="208">
        <v>6952</v>
      </c>
      <c r="K869" s="159"/>
      <c r="L869" s="204" t="s">
        <v>942</v>
      </c>
      <c r="N869" s="141">
        <f t="shared" si="28"/>
        <v>613</v>
      </c>
    </row>
    <row r="870" spans="1:14" ht="15">
      <c r="A870" s="159"/>
      <c r="B870" s="143" t="str">
        <f t="shared" si="27"/>
        <v>614.</v>
      </c>
      <c r="C870" s="205" t="s">
        <v>938</v>
      </c>
      <c r="D870" s="162"/>
      <c r="E870" s="163"/>
      <c r="F870" s="159"/>
      <c r="G870" s="164"/>
      <c r="H870" s="204" t="s">
        <v>940</v>
      </c>
      <c r="I870" s="211">
        <v>2024</v>
      </c>
      <c r="J870" s="208">
        <v>4737</v>
      </c>
      <c r="K870" s="159"/>
      <c r="L870" s="204" t="s">
        <v>942</v>
      </c>
      <c r="N870" s="141">
        <f t="shared" si="28"/>
        <v>614</v>
      </c>
    </row>
    <row r="871" spans="1:14" ht="15">
      <c r="A871" s="159"/>
      <c r="B871" s="143" t="str">
        <f t="shared" si="27"/>
        <v>615.</v>
      </c>
      <c r="C871" s="205" t="s">
        <v>938</v>
      </c>
      <c r="D871" s="162"/>
      <c r="E871" s="163"/>
      <c r="F871" s="159"/>
      <c r="G871" s="164"/>
      <c r="H871" s="204" t="s">
        <v>940</v>
      </c>
      <c r="I871" s="211">
        <v>2024</v>
      </c>
      <c r="J871" s="208">
        <v>5247</v>
      </c>
      <c r="K871" s="159"/>
      <c r="L871" s="204" t="s">
        <v>942</v>
      </c>
      <c r="N871" s="141">
        <f t="shared" si="28"/>
        <v>615</v>
      </c>
    </row>
    <row r="872" spans="1:14" ht="15">
      <c r="A872" s="159"/>
      <c r="B872" s="143" t="str">
        <f t="shared" si="27"/>
        <v>616.</v>
      </c>
      <c r="C872" s="205" t="s">
        <v>938</v>
      </c>
      <c r="D872" s="162"/>
      <c r="E872" s="163"/>
      <c r="F872" s="159"/>
      <c r="G872" s="164"/>
      <c r="H872" s="204" t="s">
        <v>940</v>
      </c>
      <c r="I872" s="211">
        <v>2024</v>
      </c>
      <c r="J872" s="208">
        <v>4737</v>
      </c>
      <c r="K872" s="159"/>
      <c r="L872" s="204" t="s">
        <v>942</v>
      </c>
      <c r="N872" s="141">
        <f t="shared" si="28"/>
        <v>616</v>
      </c>
    </row>
    <row r="873" spans="1:14" ht="15">
      <c r="A873" s="159"/>
      <c r="B873" s="143" t="str">
        <f t="shared" si="27"/>
        <v>617.</v>
      </c>
      <c r="C873" s="205" t="s">
        <v>938</v>
      </c>
      <c r="D873" s="162"/>
      <c r="E873" s="163"/>
      <c r="F873" s="159"/>
      <c r="G873" s="164"/>
      <c r="H873" s="204" t="s">
        <v>940</v>
      </c>
      <c r="I873" s="211">
        <v>2024</v>
      </c>
      <c r="J873" s="208">
        <v>4737</v>
      </c>
      <c r="K873" s="159"/>
      <c r="L873" s="204" t="s">
        <v>942</v>
      </c>
      <c r="N873" s="141">
        <f t="shared" si="28"/>
        <v>617</v>
      </c>
    </row>
    <row r="874" spans="1:14" ht="15">
      <c r="A874" s="159"/>
      <c r="B874" s="143" t="str">
        <f t="shared" si="27"/>
        <v>618.</v>
      </c>
      <c r="C874" s="205" t="s">
        <v>938</v>
      </c>
      <c r="D874" s="162"/>
      <c r="E874" s="163"/>
      <c r="F874" s="159"/>
      <c r="G874" s="164"/>
      <c r="H874" s="204" t="s">
        <v>940</v>
      </c>
      <c r="I874" s="211">
        <v>2024</v>
      </c>
      <c r="J874" s="208">
        <v>4737</v>
      </c>
      <c r="K874" s="159"/>
      <c r="L874" s="204" t="s">
        <v>942</v>
      </c>
      <c r="N874" s="141">
        <f t="shared" si="28"/>
        <v>618</v>
      </c>
    </row>
    <row r="875" spans="1:14" ht="15">
      <c r="A875" s="159"/>
      <c r="B875" s="143" t="str">
        <f t="shared" si="27"/>
        <v>619.</v>
      </c>
      <c r="C875" s="205" t="s">
        <v>938</v>
      </c>
      <c r="D875" s="162"/>
      <c r="E875" s="163"/>
      <c r="F875" s="159"/>
      <c r="G875" s="164"/>
      <c r="H875" s="204" t="s">
        <v>940</v>
      </c>
      <c r="I875" s="211">
        <v>2024</v>
      </c>
      <c r="J875" s="208">
        <v>8174</v>
      </c>
      <c r="K875" s="159"/>
      <c r="L875" s="204" t="s">
        <v>942</v>
      </c>
      <c r="N875" s="141">
        <f t="shared" si="28"/>
        <v>619</v>
      </c>
    </row>
    <row r="876" spans="1:14" ht="15">
      <c r="A876" s="159"/>
      <c r="B876" s="143" t="str">
        <f t="shared" si="27"/>
        <v>620.</v>
      </c>
      <c r="C876" s="205" t="s">
        <v>938</v>
      </c>
      <c r="D876" s="162"/>
      <c r="E876" s="163"/>
      <c r="F876" s="159"/>
      <c r="G876" s="164"/>
      <c r="H876" s="204" t="s">
        <v>940</v>
      </c>
      <c r="I876" s="211">
        <v>2024</v>
      </c>
      <c r="J876" s="208">
        <v>4737</v>
      </c>
      <c r="K876" s="159"/>
      <c r="L876" s="204" t="s">
        <v>942</v>
      </c>
      <c r="N876" s="141">
        <f t="shared" si="28"/>
        <v>620</v>
      </c>
    </row>
    <row r="877" spans="1:14" ht="15">
      <c r="A877" s="159"/>
      <c r="B877" s="143" t="str">
        <f t="shared" si="27"/>
        <v>621.</v>
      </c>
      <c r="C877" s="205" t="s">
        <v>938</v>
      </c>
      <c r="D877" s="162"/>
      <c r="E877" s="163"/>
      <c r="F877" s="159"/>
      <c r="G877" s="164"/>
      <c r="H877" s="204" t="s">
        <v>940</v>
      </c>
      <c r="I877" s="211">
        <v>2024</v>
      </c>
      <c r="J877" s="208">
        <v>6952</v>
      </c>
      <c r="K877" s="159"/>
      <c r="L877" s="204" t="s">
        <v>942</v>
      </c>
      <c r="N877" s="141">
        <f t="shared" si="28"/>
        <v>621</v>
      </c>
    </row>
    <row r="878" spans="1:14" ht="15">
      <c r="A878" s="159"/>
      <c r="B878" s="143" t="str">
        <f t="shared" si="27"/>
        <v>622.</v>
      </c>
      <c r="C878" s="205" t="s">
        <v>938</v>
      </c>
      <c r="D878" s="162"/>
      <c r="E878" s="163"/>
      <c r="F878" s="159"/>
      <c r="G878" s="164"/>
      <c r="H878" s="204" t="s">
        <v>940</v>
      </c>
      <c r="I878" s="211">
        <v>2024</v>
      </c>
      <c r="J878" s="208">
        <v>4737</v>
      </c>
      <c r="K878" s="159"/>
      <c r="L878" s="204" t="s">
        <v>942</v>
      </c>
      <c r="N878" s="141">
        <f t="shared" si="28"/>
        <v>622</v>
      </c>
    </row>
    <row r="879" spans="1:14" ht="15">
      <c r="A879" s="159"/>
      <c r="B879" s="143" t="str">
        <f t="shared" si="27"/>
        <v>623.</v>
      </c>
      <c r="C879" s="205" t="s">
        <v>938</v>
      </c>
      <c r="D879" s="162"/>
      <c r="E879" s="163"/>
      <c r="F879" s="159"/>
      <c r="G879" s="164"/>
      <c r="H879" s="204" t="s">
        <v>940</v>
      </c>
      <c r="I879" s="211">
        <v>2024</v>
      </c>
      <c r="J879" s="208">
        <v>5247</v>
      </c>
      <c r="K879" s="159"/>
      <c r="L879" s="204" t="s">
        <v>942</v>
      </c>
      <c r="N879" s="141">
        <f t="shared" si="28"/>
        <v>623</v>
      </c>
    </row>
    <row r="880" spans="1:14" ht="15">
      <c r="A880" s="159"/>
      <c r="B880" s="143" t="str">
        <f t="shared" si="27"/>
        <v>624.</v>
      </c>
      <c r="C880" s="205" t="s">
        <v>938</v>
      </c>
      <c r="D880" s="162"/>
      <c r="E880" s="163"/>
      <c r="F880" s="159"/>
      <c r="G880" s="164"/>
      <c r="H880" s="204" t="s">
        <v>940</v>
      </c>
      <c r="I880" s="211">
        <v>2024</v>
      </c>
      <c r="J880" s="208">
        <v>5247</v>
      </c>
      <c r="K880" s="159"/>
      <c r="L880" s="204" t="s">
        <v>942</v>
      </c>
      <c r="N880" s="141">
        <f t="shared" si="28"/>
        <v>624</v>
      </c>
    </row>
    <row r="881" spans="1:14" ht="15">
      <c r="A881" s="159"/>
      <c r="B881" s="143" t="str">
        <f t="shared" si="27"/>
        <v>625.</v>
      </c>
      <c r="C881" s="205" t="s">
        <v>938</v>
      </c>
      <c r="D881" s="162"/>
      <c r="E881" s="163"/>
      <c r="F881" s="159"/>
      <c r="G881" s="164"/>
      <c r="H881" s="204" t="s">
        <v>940</v>
      </c>
      <c r="I881" s="211">
        <v>2024</v>
      </c>
      <c r="J881" s="208">
        <v>6952</v>
      </c>
      <c r="K881" s="159"/>
      <c r="L881" s="204" t="s">
        <v>942</v>
      </c>
      <c r="N881" s="141">
        <f t="shared" si="28"/>
        <v>625</v>
      </c>
    </row>
    <row r="882" spans="1:14" ht="15">
      <c r="A882" s="159"/>
      <c r="B882" s="143" t="str">
        <f t="shared" si="27"/>
        <v>626.</v>
      </c>
      <c r="C882" s="205" t="s">
        <v>938</v>
      </c>
      <c r="D882" s="162"/>
      <c r="E882" s="163"/>
      <c r="F882" s="159"/>
      <c r="G882" s="164"/>
      <c r="H882" s="204" t="s">
        <v>940</v>
      </c>
      <c r="I882" s="211">
        <v>2024</v>
      </c>
      <c r="J882" s="208">
        <v>4637</v>
      </c>
      <c r="K882" s="159"/>
      <c r="L882" s="204" t="s">
        <v>942</v>
      </c>
      <c r="N882" s="141">
        <f t="shared" si="28"/>
        <v>626</v>
      </c>
    </row>
    <row r="883" spans="1:14" ht="15">
      <c r="A883" s="159"/>
      <c r="B883" s="143" t="str">
        <f t="shared" si="27"/>
        <v>627.</v>
      </c>
      <c r="C883" s="205" t="s">
        <v>938</v>
      </c>
      <c r="D883" s="162"/>
      <c r="E883" s="163"/>
      <c r="F883" s="159"/>
      <c r="G883" s="164"/>
      <c r="H883" s="204" t="s">
        <v>940</v>
      </c>
      <c r="I883" s="211">
        <v>2024</v>
      </c>
      <c r="J883" s="208">
        <v>5247</v>
      </c>
      <c r="K883" s="159"/>
      <c r="L883" s="204" t="s">
        <v>942</v>
      </c>
      <c r="N883" s="141">
        <f t="shared" si="28"/>
        <v>627</v>
      </c>
    </row>
    <row r="884" spans="1:14" ht="15">
      <c r="A884" s="159"/>
      <c r="B884" s="143" t="str">
        <f t="shared" si="27"/>
        <v>628.</v>
      </c>
      <c r="C884" s="205" t="s">
        <v>938</v>
      </c>
      <c r="D884" s="162"/>
      <c r="E884" s="163"/>
      <c r="F884" s="159"/>
      <c r="G884" s="164"/>
      <c r="H884" s="204" t="s">
        <v>940</v>
      </c>
      <c r="I884" s="211">
        <v>2024</v>
      </c>
      <c r="J884" s="208">
        <v>5247</v>
      </c>
      <c r="K884" s="159"/>
      <c r="L884" s="204" t="s">
        <v>942</v>
      </c>
      <c r="N884" s="141">
        <f t="shared" si="28"/>
        <v>628</v>
      </c>
    </row>
    <row r="885" spans="1:14" ht="15">
      <c r="A885" s="159"/>
      <c r="B885" s="143" t="str">
        <f t="shared" si="27"/>
        <v>629.</v>
      </c>
      <c r="C885" s="205" t="s">
        <v>938</v>
      </c>
      <c r="D885" s="162"/>
      <c r="E885" s="163"/>
      <c r="F885" s="159"/>
      <c r="G885" s="164"/>
      <c r="H885" s="204" t="s">
        <v>940</v>
      </c>
      <c r="I885" s="211">
        <v>2024</v>
      </c>
      <c r="J885" s="208">
        <v>5247</v>
      </c>
      <c r="K885" s="159"/>
      <c r="L885" s="204" t="s">
        <v>942</v>
      </c>
      <c r="N885" s="141">
        <f t="shared" si="28"/>
        <v>629</v>
      </c>
    </row>
    <row r="886" spans="1:14" ht="15">
      <c r="A886" s="159"/>
      <c r="B886" s="143" t="str">
        <f t="shared" si="27"/>
        <v>630.</v>
      </c>
      <c r="C886" s="205" t="s">
        <v>938</v>
      </c>
      <c r="D886" s="162"/>
      <c r="E886" s="163"/>
      <c r="F886" s="159"/>
      <c r="G886" s="164"/>
      <c r="H886" s="204" t="s">
        <v>940</v>
      </c>
      <c r="I886" s="211">
        <v>2024</v>
      </c>
      <c r="J886" s="208">
        <v>5247</v>
      </c>
      <c r="K886" s="159"/>
      <c r="L886" s="204" t="s">
        <v>942</v>
      </c>
      <c r="N886" s="141">
        <f t="shared" si="28"/>
        <v>630</v>
      </c>
    </row>
    <row r="887" spans="1:14" ht="15">
      <c r="A887" s="159"/>
      <c r="B887" s="143" t="str">
        <f t="shared" si="27"/>
        <v>631.</v>
      </c>
      <c r="C887" s="205" t="s">
        <v>938</v>
      </c>
      <c r="D887" s="162"/>
      <c r="E887" s="163"/>
      <c r="F887" s="159"/>
      <c r="G887" s="164"/>
      <c r="H887" s="204" t="s">
        <v>940</v>
      </c>
      <c r="I887" s="211">
        <v>2024</v>
      </c>
      <c r="J887" s="208">
        <v>5247</v>
      </c>
      <c r="K887" s="159"/>
      <c r="L887" s="204" t="s">
        <v>942</v>
      </c>
      <c r="N887" s="141">
        <f t="shared" si="28"/>
        <v>631</v>
      </c>
    </row>
    <row r="888" spans="1:14" ht="15">
      <c r="A888" s="159"/>
      <c r="B888" s="143" t="str">
        <f t="shared" si="27"/>
        <v>632.</v>
      </c>
      <c r="C888" s="205" t="s">
        <v>938</v>
      </c>
      <c r="D888" s="162"/>
      <c r="E888" s="163"/>
      <c r="F888" s="159"/>
      <c r="G888" s="164"/>
      <c r="H888" s="204" t="s">
        <v>940</v>
      </c>
      <c r="I888" s="211">
        <v>2024</v>
      </c>
      <c r="J888" s="208">
        <v>6952</v>
      </c>
      <c r="K888" s="159"/>
      <c r="L888" s="204" t="s">
        <v>942</v>
      </c>
      <c r="N888" s="141">
        <f t="shared" si="28"/>
        <v>632</v>
      </c>
    </row>
    <row r="889" spans="1:14" ht="15">
      <c r="A889" s="159"/>
      <c r="B889" s="143" t="str">
        <f t="shared" si="27"/>
        <v>633.</v>
      </c>
      <c r="C889" s="205" t="s">
        <v>938</v>
      </c>
      <c r="D889" s="162"/>
      <c r="E889" s="163"/>
      <c r="F889" s="159"/>
      <c r="G889" s="164"/>
      <c r="H889" s="204" t="s">
        <v>940</v>
      </c>
      <c r="I889" s="211">
        <v>2024</v>
      </c>
      <c r="J889" s="208">
        <v>4737</v>
      </c>
      <c r="K889" s="159"/>
      <c r="L889" s="204" t="s">
        <v>942</v>
      </c>
      <c r="N889" s="141">
        <f t="shared" si="28"/>
        <v>633</v>
      </c>
    </row>
    <row r="890" spans="1:14" ht="15">
      <c r="A890" s="159"/>
      <c r="B890" s="143" t="str">
        <f t="shared" si="27"/>
        <v>634.</v>
      </c>
      <c r="C890" s="205" t="s">
        <v>938</v>
      </c>
      <c r="D890" s="162"/>
      <c r="E890" s="163"/>
      <c r="F890" s="159"/>
      <c r="G890" s="164"/>
      <c r="H890" s="204" t="s">
        <v>940</v>
      </c>
      <c r="I890" s="211">
        <v>2024</v>
      </c>
      <c r="J890" s="208">
        <v>4737</v>
      </c>
      <c r="K890" s="159"/>
      <c r="L890" s="204" t="s">
        <v>942</v>
      </c>
      <c r="N890" s="141">
        <f t="shared" si="28"/>
        <v>634</v>
      </c>
    </row>
    <row r="891" spans="1:14" ht="15">
      <c r="A891" s="159"/>
      <c r="B891" s="143" t="str">
        <f t="shared" si="27"/>
        <v>635.</v>
      </c>
      <c r="C891" s="205" t="s">
        <v>938</v>
      </c>
      <c r="D891" s="162"/>
      <c r="E891" s="163"/>
      <c r="F891" s="159"/>
      <c r="G891" s="164"/>
      <c r="H891" s="204" t="s">
        <v>940</v>
      </c>
      <c r="I891" s="211">
        <v>2024</v>
      </c>
      <c r="J891" s="208">
        <v>9396</v>
      </c>
      <c r="K891" s="159"/>
      <c r="L891" s="204" t="s">
        <v>942</v>
      </c>
      <c r="N891" s="141">
        <f t="shared" si="28"/>
        <v>635</v>
      </c>
    </row>
    <row r="892" spans="1:14" ht="15">
      <c r="A892" s="159"/>
      <c r="B892" s="143" t="str">
        <f t="shared" si="27"/>
        <v>636.</v>
      </c>
      <c r="C892" s="205" t="s">
        <v>938</v>
      </c>
      <c r="D892" s="162"/>
      <c r="E892" s="163"/>
      <c r="F892" s="159"/>
      <c r="G892" s="164"/>
      <c r="H892" s="204" t="s">
        <v>940</v>
      </c>
      <c r="I892" s="211">
        <v>2024</v>
      </c>
      <c r="J892" s="208">
        <v>6952</v>
      </c>
      <c r="K892" s="159"/>
      <c r="L892" s="204" t="s">
        <v>942</v>
      </c>
      <c r="N892" s="141">
        <f t="shared" si="28"/>
        <v>636</v>
      </c>
    </row>
    <row r="893" spans="1:14" ht="15">
      <c r="A893" s="159"/>
      <c r="B893" s="143" t="str">
        <f t="shared" si="27"/>
        <v>637.</v>
      </c>
      <c r="C893" s="205" t="s">
        <v>938</v>
      </c>
      <c r="D893" s="162"/>
      <c r="E893" s="163"/>
      <c r="F893" s="159"/>
      <c r="G893" s="164"/>
      <c r="H893" s="204" t="s">
        <v>940</v>
      </c>
      <c r="I893" s="211">
        <v>2024</v>
      </c>
      <c r="J893" s="208">
        <v>5247</v>
      </c>
      <c r="K893" s="159"/>
      <c r="L893" s="204" t="s">
        <v>942</v>
      </c>
      <c r="N893" s="141">
        <f t="shared" si="28"/>
        <v>637</v>
      </c>
    </row>
    <row r="894" spans="1:14" ht="15">
      <c r="A894" s="159"/>
      <c r="B894" s="143" t="str">
        <f t="shared" si="27"/>
        <v>638.</v>
      </c>
      <c r="C894" s="205" t="s">
        <v>938</v>
      </c>
      <c r="D894" s="162"/>
      <c r="E894" s="163"/>
      <c r="F894" s="159"/>
      <c r="G894" s="164"/>
      <c r="H894" s="204" t="s">
        <v>940</v>
      </c>
      <c r="I894" s="211">
        <v>2024</v>
      </c>
      <c r="J894" s="208">
        <v>7568</v>
      </c>
      <c r="K894" s="159"/>
      <c r="L894" s="204" t="s">
        <v>942</v>
      </c>
      <c r="N894" s="141">
        <f t="shared" si="28"/>
        <v>638</v>
      </c>
    </row>
    <row r="895" spans="1:14" ht="15">
      <c r="A895" s="159"/>
      <c r="B895" s="143" t="str">
        <f t="shared" si="27"/>
        <v>639.</v>
      </c>
      <c r="C895" s="205" t="s">
        <v>938</v>
      </c>
      <c r="D895" s="162"/>
      <c r="E895" s="163"/>
      <c r="F895" s="159"/>
      <c r="G895" s="164"/>
      <c r="H895" s="204" t="s">
        <v>940</v>
      </c>
      <c r="I895" s="211">
        <v>2024</v>
      </c>
      <c r="J895" s="208">
        <v>6952</v>
      </c>
      <c r="K895" s="159"/>
      <c r="L895" s="204" t="s">
        <v>942</v>
      </c>
      <c r="N895" s="141">
        <f t="shared" si="28"/>
        <v>639</v>
      </c>
    </row>
    <row r="896" spans="1:14" ht="15">
      <c r="A896" s="159"/>
      <c r="B896" s="143" t="str">
        <f t="shared" si="27"/>
        <v>640.</v>
      </c>
      <c r="C896" s="205" t="s">
        <v>938</v>
      </c>
      <c r="D896" s="162"/>
      <c r="E896" s="163"/>
      <c r="F896" s="159"/>
      <c r="G896" s="164"/>
      <c r="H896" s="204" t="s">
        <v>940</v>
      </c>
      <c r="I896" s="211">
        <v>2024</v>
      </c>
      <c r="J896" s="208">
        <v>5247</v>
      </c>
      <c r="K896" s="159"/>
      <c r="L896" s="204" t="s">
        <v>942</v>
      </c>
      <c r="N896" s="141">
        <f t="shared" si="28"/>
        <v>640</v>
      </c>
    </row>
    <row r="897" spans="1:14" ht="15">
      <c r="A897" s="159"/>
      <c r="B897" s="143" t="str">
        <f t="shared" ref="B897:B960" si="29">N897&amp;"."</f>
        <v>641.</v>
      </c>
      <c r="C897" s="205" t="s">
        <v>938</v>
      </c>
      <c r="D897" s="162"/>
      <c r="E897" s="163"/>
      <c r="F897" s="159"/>
      <c r="G897" s="164"/>
      <c r="H897" s="204" t="s">
        <v>940</v>
      </c>
      <c r="I897" s="211">
        <v>2024</v>
      </c>
      <c r="J897" s="208">
        <v>6952</v>
      </c>
      <c r="K897" s="159"/>
      <c r="L897" s="204" t="s">
        <v>942</v>
      </c>
      <c r="N897" s="141">
        <f t="shared" si="28"/>
        <v>641</v>
      </c>
    </row>
    <row r="898" spans="1:14" ht="15">
      <c r="A898" s="159"/>
      <c r="B898" s="143" t="str">
        <f t="shared" si="29"/>
        <v>642.</v>
      </c>
      <c r="C898" s="205" t="s">
        <v>938</v>
      </c>
      <c r="D898" s="162"/>
      <c r="E898" s="163"/>
      <c r="F898" s="159"/>
      <c r="G898" s="164"/>
      <c r="H898" s="204" t="s">
        <v>940</v>
      </c>
      <c r="I898" s="211">
        <v>2024</v>
      </c>
      <c r="J898" s="208">
        <v>5247</v>
      </c>
      <c r="K898" s="159"/>
      <c r="L898" s="204" t="s">
        <v>942</v>
      </c>
      <c r="N898" s="141">
        <f t="shared" si="28"/>
        <v>642</v>
      </c>
    </row>
    <row r="899" spans="1:14" ht="15">
      <c r="A899" s="159"/>
      <c r="B899" s="143" t="str">
        <f t="shared" si="29"/>
        <v>643.</v>
      </c>
      <c r="C899" s="205" t="s">
        <v>938</v>
      </c>
      <c r="D899" s="162"/>
      <c r="E899" s="163"/>
      <c r="F899" s="159"/>
      <c r="G899" s="164"/>
      <c r="H899" s="204" t="s">
        <v>940</v>
      </c>
      <c r="I899" s="211">
        <v>2024</v>
      </c>
      <c r="J899" s="208">
        <v>6952</v>
      </c>
      <c r="K899" s="159"/>
      <c r="L899" s="204" t="s">
        <v>942</v>
      </c>
      <c r="N899" s="141">
        <f t="shared" ref="N899:N962" si="30">N898+1</f>
        <v>643</v>
      </c>
    </row>
    <row r="900" spans="1:14" ht="15">
      <c r="A900" s="159"/>
      <c r="B900" s="143" t="str">
        <f t="shared" si="29"/>
        <v>644.</v>
      </c>
      <c r="C900" s="205" t="s">
        <v>938</v>
      </c>
      <c r="D900" s="162"/>
      <c r="E900" s="163"/>
      <c r="F900" s="159"/>
      <c r="G900" s="164"/>
      <c r="H900" s="204" t="s">
        <v>940</v>
      </c>
      <c r="I900" s="211">
        <v>2024</v>
      </c>
      <c r="J900" s="208">
        <v>4737</v>
      </c>
      <c r="K900" s="159"/>
      <c r="L900" s="204" t="s">
        <v>942</v>
      </c>
      <c r="N900" s="141">
        <f t="shared" si="30"/>
        <v>644</v>
      </c>
    </row>
    <row r="901" spans="1:14" ht="15">
      <c r="A901" s="159"/>
      <c r="B901" s="143" t="str">
        <f t="shared" si="29"/>
        <v>645.</v>
      </c>
      <c r="C901" s="205" t="s">
        <v>938</v>
      </c>
      <c r="D901" s="162"/>
      <c r="E901" s="163"/>
      <c r="F901" s="159"/>
      <c r="G901" s="164"/>
      <c r="H901" s="204" t="s">
        <v>940</v>
      </c>
      <c r="I901" s="211">
        <v>2024</v>
      </c>
      <c r="J901" s="208">
        <v>5247</v>
      </c>
      <c r="K901" s="159"/>
      <c r="L901" s="204" t="s">
        <v>942</v>
      </c>
      <c r="N901" s="141">
        <f t="shared" si="30"/>
        <v>645</v>
      </c>
    </row>
    <row r="902" spans="1:14" ht="15">
      <c r="A902" s="159"/>
      <c r="B902" s="143" t="str">
        <f t="shared" si="29"/>
        <v>646.</v>
      </c>
      <c r="C902" s="205" t="s">
        <v>938</v>
      </c>
      <c r="D902" s="162"/>
      <c r="E902" s="163"/>
      <c r="F902" s="159"/>
      <c r="G902" s="164"/>
      <c r="H902" s="204" t="s">
        <v>940</v>
      </c>
      <c r="I902" s="211">
        <v>2024</v>
      </c>
      <c r="J902" s="208">
        <v>5247</v>
      </c>
      <c r="K902" s="159"/>
      <c r="L902" s="204" t="s">
        <v>942</v>
      </c>
      <c r="N902" s="141">
        <f t="shared" si="30"/>
        <v>646</v>
      </c>
    </row>
    <row r="903" spans="1:14" ht="15">
      <c r="A903" s="159"/>
      <c r="B903" s="143" t="str">
        <f t="shared" si="29"/>
        <v>647.</v>
      </c>
      <c r="C903" s="205" t="s">
        <v>938</v>
      </c>
      <c r="D903" s="162"/>
      <c r="E903" s="163"/>
      <c r="F903" s="159"/>
      <c r="G903" s="164"/>
      <c r="H903" s="204" t="s">
        <v>940</v>
      </c>
      <c r="I903" s="211">
        <v>2024</v>
      </c>
      <c r="J903" s="208">
        <v>5247</v>
      </c>
      <c r="K903" s="159"/>
      <c r="L903" s="204" t="s">
        <v>942</v>
      </c>
      <c r="N903" s="141">
        <f t="shared" si="30"/>
        <v>647</v>
      </c>
    </row>
    <row r="904" spans="1:14" ht="15">
      <c r="A904" s="159"/>
      <c r="B904" s="143" t="str">
        <f t="shared" si="29"/>
        <v>648.</v>
      </c>
      <c r="C904" s="205" t="s">
        <v>938</v>
      </c>
      <c r="D904" s="162"/>
      <c r="E904" s="163"/>
      <c r="F904" s="159"/>
      <c r="G904" s="164"/>
      <c r="H904" s="204" t="s">
        <v>940</v>
      </c>
      <c r="I904" s="211">
        <v>2024</v>
      </c>
      <c r="J904" s="208">
        <v>5247</v>
      </c>
      <c r="K904" s="159"/>
      <c r="L904" s="204" t="s">
        <v>942</v>
      </c>
      <c r="N904" s="141">
        <f t="shared" si="30"/>
        <v>648</v>
      </c>
    </row>
    <row r="905" spans="1:14" ht="15">
      <c r="A905" s="159"/>
      <c r="B905" s="143" t="str">
        <f t="shared" si="29"/>
        <v>649.</v>
      </c>
      <c r="C905" s="205" t="s">
        <v>938</v>
      </c>
      <c r="D905" s="162"/>
      <c r="E905" s="163"/>
      <c r="F905" s="159"/>
      <c r="G905" s="164"/>
      <c r="H905" s="204" t="s">
        <v>940</v>
      </c>
      <c r="I905" s="211">
        <v>2024</v>
      </c>
      <c r="J905" s="208">
        <v>5156</v>
      </c>
      <c r="K905" s="159"/>
      <c r="L905" s="204" t="s">
        <v>942</v>
      </c>
      <c r="N905" s="141">
        <f t="shared" si="30"/>
        <v>649</v>
      </c>
    </row>
    <row r="906" spans="1:14" ht="15">
      <c r="A906" s="159"/>
      <c r="B906" s="143" t="str">
        <f t="shared" si="29"/>
        <v>650.</v>
      </c>
      <c r="C906" s="205" t="s">
        <v>938</v>
      </c>
      <c r="D906" s="162"/>
      <c r="E906" s="163"/>
      <c r="F906" s="159"/>
      <c r="G906" s="164"/>
      <c r="H906" s="204" t="s">
        <v>940</v>
      </c>
      <c r="I906" s="211">
        <v>2024</v>
      </c>
      <c r="J906" s="208">
        <v>4200</v>
      </c>
      <c r="K906" s="159"/>
      <c r="L906" s="204" t="s">
        <v>942</v>
      </c>
      <c r="N906" s="141">
        <f t="shared" si="30"/>
        <v>650</v>
      </c>
    </row>
    <row r="907" spans="1:14" ht="15">
      <c r="A907" s="159"/>
      <c r="B907" s="143" t="str">
        <f t="shared" si="29"/>
        <v>651.</v>
      </c>
      <c r="C907" s="205" t="s">
        <v>938</v>
      </c>
      <c r="D907" s="162"/>
      <c r="E907" s="163"/>
      <c r="F907" s="159"/>
      <c r="G907" s="164"/>
      <c r="H907" s="204" t="s">
        <v>940</v>
      </c>
      <c r="I907" s="211">
        <v>2024</v>
      </c>
      <c r="J907" s="208">
        <v>5247</v>
      </c>
      <c r="K907" s="159"/>
      <c r="L907" s="204" t="s">
        <v>942</v>
      </c>
      <c r="N907" s="141">
        <f t="shared" si="30"/>
        <v>651</v>
      </c>
    </row>
    <row r="908" spans="1:14" ht="15">
      <c r="A908" s="159"/>
      <c r="B908" s="143" t="str">
        <f t="shared" si="29"/>
        <v>652.</v>
      </c>
      <c r="C908" s="205" t="s">
        <v>938</v>
      </c>
      <c r="D908" s="162"/>
      <c r="E908" s="163"/>
      <c r="F908" s="159"/>
      <c r="G908" s="164"/>
      <c r="H908" s="204" t="s">
        <v>940</v>
      </c>
      <c r="I908" s="211">
        <v>2024</v>
      </c>
      <c r="J908" s="208">
        <v>6952</v>
      </c>
      <c r="K908" s="159"/>
      <c r="L908" s="204" t="s">
        <v>942</v>
      </c>
      <c r="N908" s="141">
        <f t="shared" si="30"/>
        <v>652</v>
      </c>
    </row>
    <row r="909" spans="1:14" ht="15">
      <c r="A909" s="159"/>
      <c r="B909" s="143" t="str">
        <f t="shared" si="29"/>
        <v>653.</v>
      </c>
      <c r="C909" s="205" t="s">
        <v>938</v>
      </c>
      <c r="D909" s="162"/>
      <c r="E909" s="163"/>
      <c r="F909" s="159"/>
      <c r="G909" s="164"/>
      <c r="H909" s="204" t="s">
        <v>940</v>
      </c>
      <c r="I909" s="211">
        <v>2024</v>
      </c>
      <c r="J909" s="208">
        <v>5247</v>
      </c>
      <c r="K909" s="159"/>
      <c r="L909" s="204" t="s">
        <v>942</v>
      </c>
      <c r="N909" s="141">
        <f t="shared" si="30"/>
        <v>653</v>
      </c>
    </row>
    <row r="910" spans="1:14" ht="15">
      <c r="A910" s="159"/>
      <c r="B910" s="143" t="str">
        <f t="shared" si="29"/>
        <v>654.</v>
      </c>
      <c r="C910" s="205" t="s">
        <v>938</v>
      </c>
      <c r="D910" s="162"/>
      <c r="E910" s="163"/>
      <c r="F910" s="159"/>
      <c r="G910" s="164"/>
      <c r="H910" s="204" t="s">
        <v>940</v>
      </c>
      <c r="I910" s="211">
        <v>2024</v>
      </c>
      <c r="J910" s="208">
        <v>5247</v>
      </c>
      <c r="K910" s="159"/>
      <c r="L910" s="204" t="s">
        <v>942</v>
      </c>
      <c r="N910" s="141">
        <f t="shared" si="30"/>
        <v>654</v>
      </c>
    </row>
    <row r="911" spans="1:14" ht="15">
      <c r="A911" s="159"/>
      <c r="B911" s="143" t="str">
        <f t="shared" si="29"/>
        <v>655.</v>
      </c>
      <c r="C911" s="205" t="s">
        <v>938</v>
      </c>
      <c r="D911" s="162"/>
      <c r="E911" s="163"/>
      <c r="F911" s="159"/>
      <c r="G911" s="164"/>
      <c r="H911" s="204" t="s">
        <v>940</v>
      </c>
      <c r="I911" s="211">
        <v>2024</v>
      </c>
      <c r="J911" s="208">
        <v>5247</v>
      </c>
      <c r="K911" s="159"/>
      <c r="L911" s="204" t="s">
        <v>942</v>
      </c>
      <c r="N911" s="141">
        <f t="shared" si="30"/>
        <v>655</v>
      </c>
    </row>
    <row r="912" spans="1:14" ht="15">
      <c r="A912" s="159"/>
      <c r="B912" s="143" t="str">
        <f t="shared" si="29"/>
        <v>656.</v>
      </c>
      <c r="C912" s="205" t="s">
        <v>938</v>
      </c>
      <c r="D912" s="162"/>
      <c r="E912" s="163"/>
      <c r="F912" s="159"/>
      <c r="G912" s="164"/>
      <c r="H912" s="204" t="s">
        <v>940</v>
      </c>
      <c r="I912" s="211">
        <v>2024</v>
      </c>
      <c r="J912" s="208">
        <v>5247</v>
      </c>
      <c r="K912" s="159"/>
      <c r="L912" s="204" t="s">
        <v>942</v>
      </c>
      <c r="N912" s="141">
        <f t="shared" si="30"/>
        <v>656</v>
      </c>
    </row>
    <row r="913" spans="1:14" ht="15">
      <c r="A913" s="159"/>
      <c r="B913" s="143" t="str">
        <f t="shared" si="29"/>
        <v>657.</v>
      </c>
      <c r="C913" s="205" t="s">
        <v>938</v>
      </c>
      <c r="D913" s="162"/>
      <c r="E913" s="163"/>
      <c r="F913" s="159"/>
      <c r="G913" s="164"/>
      <c r="H913" s="204" t="s">
        <v>940</v>
      </c>
      <c r="I913" s="211">
        <v>2024</v>
      </c>
      <c r="J913" s="208">
        <v>4737</v>
      </c>
      <c r="K913" s="159"/>
      <c r="L913" s="204" t="s">
        <v>942</v>
      </c>
      <c r="N913" s="141">
        <f t="shared" si="30"/>
        <v>657</v>
      </c>
    </row>
    <row r="914" spans="1:14" ht="15">
      <c r="A914" s="159"/>
      <c r="B914" s="143" t="str">
        <f t="shared" si="29"/>
        <v>658.</v>
      </c>
      <c r="C914" s="205" t="s">
        <v>938</v>
      </c>
      <c r="D914" s="162"/>
      <c r="E914" s="163"/>
      <c r="F914" s="159"/>
      <c r="G914" s="164"/>
      <c r="H914" s="204" t="s">
        <v>940</v>
      </c>
      <c r="I914" s="211">
        <v>2024</v>
      </c>
      <c r="J914" s="208">
        <v>5247</v>
      </c>
      <c r="K914" s="159"/>
      <c r="L914" s="204" t="s">
        <v>942</v>
      </c>
      <c r="N914" s="141">
        <f t="shared" si="30"/>
        <v>658</v>
      </c>
    </row>
    <row r="915" spans="1:14" ht="15">
      <c r="A915" s="159"/>
      <c r="B915" s="143" t="str">
        <f t="shared" si="29"/>
        <v>659.</v>
      </c>
      <c r="C915" s="205" t="s">
        <v>938</v>
      </c>
      <c r="D915" s="162"/>
      <c r="E915" s="163"/>
      <c r="F915" s="159"/>
      <c r="G915" s="164"/>
      <c r="H915" s="204" t="s">
        <v>940</v>
      </c>
      <c r="I915" s="211">
        <v>2024</v>
      </c>
      <c r="J915" s="208">
        <v>4737</v>
      </c>
      <c r="K915" s="159"/>
      <c r="L915" s="204" t="s">
        <v>942</v>
      </c>
      <c r="N915" s="141">
        <f t="shared" si="30"/>
        <v>659</v>
      </c>
    </row>
    <row r="916" spans="1:14" ht="15">
      <c r="A916" s="159"/>
      <c r="B916" s="143" t="str">
        <f t="shared" si="29"/>
        <v>660.</v>
      </c>
      <c r="C916" s="205" t="s">
        <v>938</v>
      </c>
      <c r="D916" s="162"/>
      <c r="E916" s="163"/>
      <c r="F916" s="159"/>
      <c r="G916" s="164"/>
      <c r="H916" s="204" t="s">
        <v>940</v>
      </c>
      <c r="I916" s="211">
        <v>2024</v>
      </c>
      <c r="J916" s="208">
        <v>6952</v>
      </c>
      <c r="K916" s="159"/>
      <c r="L916" s="204" t="s">
        <v>942</v>
      </c>
      <c r="N916" s="141">
        <f t="shared" si="30"/>
        <v>660</v>
      </c>
    </row>
    <row r="917" spans="1:14" ht="15">
      <c r="A917" s="159"/>
      <c r="B917" s="143" t="str">
        <f t="shared" si="29"/>
        <v>661.</v>
      </c>
      <c r="C917" s="205" t="s">
        <v>938</v>
      </c>
      <c r="D917" s="162"/>
      <c r="E917" s="163"/>
      <c r="F917" s="159"/>
      <c r="G917" s="164"/>
      <c r="H917" s="204" t="s">
        <v>940</v>
      </c>
      <c r="I917" s="211">
        <v>2024</v>
      </c>
      <c r="J917" s="208">
        <v>5247</v>
      </c>
      <c r="K917" s="159"/>
      <c r="L917" s="204" t="s">
        <v>942</v>
      </c>
      <c r="N917" s="141">
        <f t="shared" si="30"/>
        <v>661</v>
      </c>
    </row>
    <row r="918" spans="1:14" ht="15">
      <c r="A918" s="159"/>
      <c r="B918" s="143" t="str">
        <f t="shared" si="29"/>
        <v>662.</v>
      </c>
      <c r="C918" s="205" t="s">
        <v>938</v>
      </c>
      <c r="D918" s="162"/>
      <c r="E918" s="163"/>
      <c r="F918" s="159"/>
      <c r="G918" s="164"/>
      <c r="H918" s="204" t="s">
        <v>940</v>
      </c>
      <c r="I918" s="211">
        <v>2024</v>
      </c>
      <c r="J918" s="208">
        <v>6952</v>
      </c>
      <c r="K918" s="159"/>
      <c r="L918" s="204" t="s">
        <v>942</v>
      </c>
      <c r="N918" s="141">
        <f t="shared" si="30"/>
        <v>662</v>
      </c>
    </row>
    <row r="919" spans="1:14" ht="15">
      <c r="A919" s="159"/>
      <c r="B919" s="143" t="str">
        <f t="shared" si="29"/>
        <v>663.</v>
      </c>
      <c r="C919" s="205" t="s">
        <v>938</v>
      </c>
      <c r="D919" s="162"/>
      <c r="E919" s="163"/>
      <c r="F919" s="159"/>
      <c r="G919" s="164"/>
      <c r="H919" s="204" t="s">
        <v>940</v>
      </c>
      <c r="I919" s="211">
        <v>2024</v>
      </c>
      <c r="J919" s="208">
        <v>5247</v>
      </c>
      <c r="K919" s="159"/>
      <c r="L919" s="204" t="s">
        <v>942</v>
      </c>
      <c r="N919" s="141">
        <f t="shared" si="30"/>
        <v>663</v>
      </c>
    </row>
    <row r="920" spans="1:14" ht="15">
      <c r="A920" s="159"/>
      <c r="B920" s="143" t="str">
        <f t="shared" si="29"/>
        <v>664.</v>
      </c>
      <c r="C920" s="205" t="s">
        <v>938</v>
      </c>
      <c r="D920" s="162"/>
      <c r="E920" s="163"/>
      <c r="F920" s="159"/>
      <c r="G920" s="164"/>
      <c r="H920" s="204" t="s">
        <v>940</v>
      </c>
      <c r="I920" s="211">
        <v>2024</v>
      </c>
      <c r="J920" s="208">
        <v>6952</v>
      </c>
      <c r="K920" s="159"/>
      <c r="L920" s="204" t="s">
        <v>942</v>
      </c>
      <c r="N920" s="141">
        <f t="shared" si="30"/>
        <v>664</v>
      </c>
    </row>
    <row r="921" spans="1:14" ht="15">
      <c r="A921" s="159"/>
      <c r="B921" s="143" t="str">
        <f t="shared" si="29"/>
        <v>665.</v>
      </c>
      <c r="C921" s="205" t="s">
        <v>938</v>
      </c>
      <c r="D921" s="162"/>
      <c r="E921" s="163"/>
      <c r="F921" s="159"/>
      <c r="G921" s="164"/>
      <c r="H921" s="204" t="s">
        <v>940</v>
      </c>
      <c r="I921" s="211">
        <v>2024</v>
      </c>
      <c r="J921" s="208">
        <v>4737</v>
      </c>
      <c r="K921" s="159"/>
      <c r="L921" s="204" t="s">
        <v>942</v>
      </c>
      <c r="N921" s="141">
        <f t="shared" si="30"/>
        <v>665</v>
      </c>
    </row>
    <row r="922" spans="1:14" ht="15">
      <c r="A922" s="159"/>
      <c r="B922" s="143" t="str">
        <f t="shared" si="29"/>
        <v>666.</v>
      </c>
      <c r="C922" s="205" t="s">
        <v>938</v>
      </c>
      <c r="D922" s="162"/>
      <c r="E922" s="163"/>
      <c r="F922" s="159"/>
      <c r="G922" s="164"/>
      <c r="H922" s="204" t="s">
        <v>940</v>
      </c>
      <c r="I922" s="211">
        <v>2024</v>
      </c>
      <c r="J922" s="208">
        <v>4737</v>
      </c>
      <c r="K922" s="159"/>
      <c r="L922" s="204" t="s">
        <v>942</v>
      </c>
      <c r="N922" s="141">
        <f t="shared" si="30"/>
        <v>666</v>
      </c>
    </row>
    <row r="923" spans="1:14" ht="15">
      <c r="A923" s="159"/>
      <c r="B923" s="143" t="str">
        <f t="shared" si="29"/>
        <v>667.</v>
      </c>
      <c r="C923" s="205" t="s">
        <v>938</v>
      </c>
      <c r="D923" s="162"/>
      <c r="E923" s="163"/>
      <c r="F923" s="159"/>
      <c r="G923" s="164"/>
      <c r="H923" s="204" t="s">
        <v>940</v>
      </c>
      <c r="I923" s="211">
        <v>2024</v>
      </c>
      <c r="J923" s="208">
        <v>4737</v>
      </c>
      <c r="K923" s="159"/>
      <c r="L923" s="204" t="s">
        <v>942</v>
      </c>
      <c r="N923" s="141">
        <f t="shared" si="30"/>
        <v>667</v>
      </c>
    </row>
    <row r="924" spans="1:14" ht="15">
      <c r="A924" s="159"/>
      <c r="B924" s="143" t="str">
        <f t="shared" si="29"/>
        <v>668.</v>
      </c>
      <c r="C924" s="205" t="s">
        <v>938</v>
      </c>
      <c r="D924" s="162"/>
      <c r="E924" s="163"/>
      <c r="F924" s="159"/>
      <c r="G924" s="164"/>
      <c r="H924" s="204" t="s">
        <v>940</v>
      </c>
      <c r="I924" s="211">
        <v>2024</v>
      </c>
      <c r="J924" s="208">
        <v>4737</v>
      </c>
      <c r="K924" s="159"/>
      <c r="L924" s="204" t="s">
        <v>942</v>
      </c>
      <c r="N924" s="141">
        <f t="shared" si="30"/>
        <v>668</v>
      </c>
    </row>
    <row r="925" spans="1:14" ht="15">
      <c r="A925" s="159"/>
      <c r="B925" s="143" t="str">
        <f t="shared" si="29"/>
        <v>669.</v>
      </c>
      <c r="C925" s="205" t="s">
        <v>938</v>
      </c>
      <c r="D925" s="162"/>
      <c r="E925" s="163"/>
      <c r="F925" s="159"/>
      <c r="G925" s="164"/>
      <c r="H925" s="204" t="s">
        <v>940</v>
      </c>
      <c r="I925" s="211">
        <v>2024</v>
      </c>
      <c r="J925" s="208">
        <v>4737</v>
      </c>
      <c r="K925" s="159"/>
      <c r="L925" s="204" t="s">
        <v>942</v>
      </c>
      <c r="N925" s="141">
        <f t="shared" si="30"/>
        <v>669</v>
      </c>
    </row>
    <row r="926" spans="1:14" ht="15">
      <c r="A926" s="159"/>
      <c r="B926" s="143" t="str">
        <f t="shared" si="29"/>
        <v>670.</v>
      </c>
      <c r="C926" s="205" t="s">
        <v>938</v>
      </c>
      <c r="D926" s="162"/>
      <c r="E926" s="163"/>
      <c r="F926" s="159"/>
      <c r="G926" s="164"/>
      <c r="H926" s="204" t="s">
        <v>940</v>
      </c>
      <c r="I926" s="211">
        <v>2024</v>
      </c>
      <c r="J926" s="208">
        <v>7568</v>
      </c>
      <c r="K926" s="159"/>
      <c r="L926" s="204" t="s">
        <v>942</v>
      </c>
      <c r="N926" s="141">
        <f t="shared" si="30"/>
        <v>670</v>
      </c>
    </row>
    <row r="927" spans="1:14" ht="15">
      <c r="A927" s="159"/>
      <c r="B927" s="143" t="str">
        <f t="shared" si="29"/>
        <v>671.</v>
      </c>
      <c r="C927" s="205" t="s">
        <v>938</v>
      </c>
      <c r="D927" s="162"/>
      <c r="E927" s="163"/>
      <c r="F927" s="159"/>
      <c r="G927" s="164"/>
      <c r="H927" s="204" t="s">
        <v>940</v>
      </c>
      <c r="I927" s="211">
        <v>2024</v>
      </c>
      <c r="J927" s="208">
        <v>4737</v>
      </c>
      <c r="K927" s="159"/>
      <c r="L927" s="204" t="s">
        <v>942</v>
      </c>
      <c r="N927" s="141">
        <f t="shared" si="30"/>
        <v>671</v>
      </c>
    </row>
    <row r="928" spans="1:14" ht="15">
      <c r="A928" s="159"/>
      <c r="B928" s="143" t="str">
        <f t="shared" si="29"/>
        <v>672.</v>
      </c>
      <c r="C928" s="205" t="s">
        <v>938</v>
      </c>
      <c r="D928" s="162"/>
      <c r="E928" s="163"/>
      <c r="F928" s="159"/>
      <c r="G928" s="164"/>
      <c r="H928" s="204" t="s">
        <v>940</v>
      </c>
      <c r="I928" s="211">
        <v>2024</v>
      </c>
      <c r="J928" s="208">
        <v>6952</v>
      </c>
      <c r="K928" s="159"/>
      <c r="L928" s="204" t="s">
        <v>942</v>
      </c>
      <c r="N928" s="141">
        <f t="shared" si="30"/>
        <v>672</v>
      </c>
    </row>
    <row r="929" spans="1:14" ht="15">
      <c r="A929" s="159"/>
      <c r="B929" s="143" t="str">
        <f t="shared" si="29"/>
        <v>673.</v>
      </c>
      <c r="C929" s="205" t="s">
        <v>938</v>
      </c>
      <c r="D929" s="162"/>
      <c r="E929" s="163"/>
      <c r="F929" s="159"/>
      <c r="G929" s="164"/>
      <c r="H929" s="204" t="s">
        <v>940</v>
      </c>
      <c r="I929" s="211">
        <v>2024</v>
      </c>
      <c r="J929" s="208">
        <v>4737</v>
      </c>
      <c r="K929" s="159"/>
      <c r="L929" s="204" t="s">
        <v>942</v>
      </c>
      <c r="N929" s="141">
        <f t="shared" si="30"/>
        <v>673</v>
      </c>
    </row>
    <row r="930" spans="1:14" ht="15">
      <c r="A930" s="159"/>
      <c r="B930" s="143" t="str">
        <f t="shared" si="29"/>
        <v>674.</v>
      </c>
      <c r="C930" s="205" t="s">
        <v>938</v>
      </c>
      <c r="D930" s="162"/>
      <c r="E930" s="163"/>
      <c r="F930" s="159"/>
      <c r="G930" s="164"/>
      <c r="H930" s="204" t="s">
        <v>940</v>
      </c>
      <c r="I930" s="211">
        <v>2024</v>
      </c>
      <c r="J930" s="208">
        <v>4737</v>
      </c>
      <c r="K930" s="159"/>
      <c r="L930" s="204" t="s">
        <v>942</v>
      </c>
      <c r="N930" s="141">
        <f t="shared" si="30"/>
        <v>674</v>
      </c>
    </row>
    <row r="931" spans="1:14" ht="15">
      <c r="A931" s="159"/>
      <c r="B931" s="143" t="str">
        <f t="shared" si="29"/>
        <v>675.</v>
      </c>
      <c r="C931" s="205" t="s">
        <v>938</v>
      </c>
      <c r="D931" s="162"/>
      <c r="E931" s="163"/>
      <c r="F931" s="159"/>
      <c r="G931" s="164"/>
      <c r="H931" s="204" t="s">
        <v>940</v>
      </c>
      <c r="I931" s="211">
        <v>2024</v>
      </c>
      <c r="J931" s="208">
        <v>5247</v>
      </c>
      <c r="K931" s="159"/>
      <c r="L931" s="204" t="s">
        <v>942</v>
      </c>
      <c r="N931" s="141">
        <f t="shared" si="30"/>
        <v>675</v>
      </c>
    </row>
    <row r="932" spans="1:14" ht="15">
      <c r="A932" s="159"/>
      <c r="B932" s="143" t="str">
        <f t="shared" si="29"/>
        <v>676.</v>
      </c>
      <c r="C932" s="205" t="s">
        <v>938</v>
      </c>
      <c r="D932" s="162"/>
      <c r="E932" s="163"/>
      <c r="F932" s="159"/>
      <c r="G932" s="164"/>
      <c r="H932" s="204" t="s">
        <v>940</v>
      </c>
      <c r="I932" s="211">
        <v>2024</v>
      </c>
      <c r="J932" s="208">
        <v>6952</v>
      </c>
      <c r="K932" s="159"/>
      <c r="L932" s="204" t="s">
        <v>942</v>
      </c>
      <c r="N932" s="141">
        <f t="shared" si="30"/>
        <v>676</v>
      </c>
    </row>
    <row r="933" spans="1:14" ht="15">
      <c r="A933" s="159"/>
      <c r="B933" s="143" t="str">
        <f t="shared" si="29"/>
        <v>677.</v>
      </c>
      <c r="C933" s="205" t="s">
        <v>938</v>
      </c>
      <c r="D933" s="162"/>
      <c r="E933" s="163"/>
      <c r="F933" s="159"/>
      <c r="G933" s="164"/>
      <c r="H933" s="204" t="s">
        <v>940</v>
      </c>
      <c r="I933" s="211">
        <v>2024</v>
      </c>
      <c r="J933" s="208">
        <v>5247</v>
      </c>
      <c r="K933" s="159"/>
      <c r="L933" s="204" t="s">
        <v>942</v>
      </c>
      <c r="N933" s="141">
        <f t="shared" si="30"/>
        <v>677</v>
      </c>
    </row>
    <row r="934" spans="1:14" ht="15">
      <c r="A934" s="159"/>
      <c r="B934" s="143" t="str">
        <f t="shared" si="29"/>
        <v>678.</v>
      </c>
      <c r="C934" s="205" t="s">
        <v>938</v>
      </c>
      <c r="D934" s="162"/>
      <c r="E934" s="163"/>
      <c r="F934" s="159"/>
      <c r="G934" s="164"/>
      <c r="H934" s="204" t="s">
        <v>940</v>
      </c>
      <c r="I934" s="211">
        <v>2024</v>
      </c>
      <c r="J934" s="208">
        <v>4737</v>
      </c>
      <c r="K934" s="159"/>
      <c r="L934" s="204" t="s">
        <v>942</v>
      </c>
      <c r="N934" s="141">
        <f t="shared" si="30"/>
        <v>678</v>
      </c>
    </row>
    <row r="935" spans="1:14" ht="15">
      <c r="A935" s="159"/>
      <c r="B935" s="143" t="str">
        <f t="shared" si="29"/>
        <v>679.</v>
      </c>
      <c r="C935" s="205" t="s">
        <v>938</v>
      </c>
      <c r="D935" s="162"/>
      <c r="E935" s="163"/>
      <c r="F935" s="159"/>
      <c r="G935" s="164"/>
      <c r="H935" s="204" t="s">
        <v>940</v>
      </c>
      <c r="I935" s="211">
        <v>2024</v>
      </c>
      <c r="J935" s="208">
        <v>5247</v>
      </c>
      <c r="K935" s="159"/>
      <c r="L935" s="204" t="s">
        <v>942</v>
      </c>
      <c r="N935" s="141">
        <f t="shared" si="30"/>
        <v>679</v>
      </c>
    </row>
    <row r="936" spans="1:14" ht="15">
      <c r="A936" s="159"/>
      <c r="B936" s="143" t="str">
        <f t="shared" si="29"/>
        <v>680.</v>
      </c>
      <c r="C936" s="205" t="s">
        <v>938</v>
      </c>
      <c r="D936" s="162"/>
      <c r="E936" s="163"/>
      <c r="F936" s="159"/>
      <c r="G936" s="164"/>
      <c r="H936" s="204" t="s">
        <v>940</v>
      </c>
      <c r="I936" s="211">
        <v>2024</v>
      </c>
      <c r="J936" s="208">
        <v>4737</v>
      </c>
      <c r="K936" s="159"/>
      <c r="L936" s="204" t="s">
        <v>942</v>
      </c>
      <c r="N936" s="141">
        <f t="shared" si="30"/>
        <v>680</v>
      </c>
    </row>
    <row r="937" spans="1:14" ht="15">
      <c r="A937" s="159"/>
      <c r="B937" s="143" t="str">
        <f t="shared" si="29"/>
        <v>681.</v>
      </c>
      <c r="C937" s="205" t="s">
        <v>938</v>
      </c>
      <c r="D937" s="162"/>
      <c r="E937" s="163"/>
      <c r="F937" s="159"/>
      <c r="G937" s="164"/>
      <c r="H937" s="204" t="s">
        <v>940</v>
      </c>
      <c r="I937" s="211">
        <v>2024</v>
      </c>
      <c r="J937" s="208">
        <v>5809</v>
      </c>
      <c r="K937" s="159"/>
      <c r="L937" s="204" t="s">
        <v>942</v>
      </c>
      <c r="N937" s="141">
        <f t="shared" si="30"/>
        <v>681</v>
      </c>
    </row>
    <row r="938" spans="1:14" ht="15">
      <c r="A938" s="159"/>
      <c r="B938" s="143" t="str">
        <f t="shared" si="29"/>
        <v>682.</v>
      </c>
      <c r="C938" s="205" t="s">
        <v>938</v>
      </c>
      <c r="D938" s="162"/>
      <c r="E938" s="163"/>
      <c r="F938" s="159"/>
      <c r="G938" s="164"/>
      <c r="H938" s="204" t="s">
        <v>940</v>
      </c>
      <c r="I938" s="211">
        <v>2024</v>
      </c>
      <c r="J938" s="208">
        <v>5247</v>
      </c>
      <c r="K938" s="159"/>
      <c r="L938" s="204" t="s">
        <v>942</v>
      </c>
      <c r="N938" s="141">
        <f t="shared" si="30"/>
        <v>682</v>
      </c>
    </row>
    <row r="939" spans="1:14" ht="15">
      <c r="A939" s="159"/>
      <c r="B939" s="143" t="str">
        <f t="shared" si="29"/>
        <v>683.</v>
      </c>
      <c r="C939" s="205" t="s">
        <v>938</v>
      </c>
      <c r="D939" s="162"/>
      <c r="E939" s="163"/>
      <c r="F939" s="159"/>
      <c r="G939" s="164"/>
      <c r="H939" s="204" t="s">
        <v>940</v>
      </c>
      <c r="I939" s="211">
        <v>2024</v>
      </c>
      <c r="J939" s="208">
        <v>4737</v>
      </c>
      <c r="K939" s="159"/>
      <c r="L939" s="204" t="s">
        <v>942</v>
      </c>
      <c r="N939" s="141">
        <f t="shared" si="30"/>
        <v>683</v>
      </c>
    </row>
    <row r="940" spans="1:14" ht="15">
      <c r="A940" s="159"/>
      <c r="B940" s="143" t="str">
        <f t="shared" si="29"/>
        <v>684.</v>
      </c>
      <c r="C940" s="205" t="s">
        <v>938</v>
      </c>
      <c r="D940" s="162"/>
      <c r="E940" s="163"/>
      <c r="F940" s="159"/>
      <c r="G940" s="164"/>
      <c r="H940" s="204" t="s">
        <v>940</v>
      </c>
      <c r="I940" s="211">
        <v>2024</v>
      </c>
      <c r="J940" s="208">
        <v>6952</v>
      </c>
      <c r="K940" s="159"/>
      <c r="L940" s="204" t="s">
        <v>942</v>
      </c>
      <c r="N940" s="141">
        <f t="shared" si="30"/>
        <v>684</v>
      </c>
    </row>
    <row r="941" spans="1:14" ht="15">
      <c r="A941" s="159"/>
      <c r="B941" s="143" t="str">
        <f t="shared" si="29"/>
        <v>685.</v>
      </c>
      <c r="C941" s="205" t="s">
        <v>938</v>
      </c>
      <c r="D941" s="162"/>
      <c r="E941" s="163"/>
      <c r="F941" s="159"/>
      <c r="G941" s="164"/>
      <c r="H941" s="204" t="s">
        <v>940</v>
      </c>
      <c r="I941" s="211">
        <v>2024</v>
      </c>
      <c r="J941" s="208">
        <v>5247</v>
      </c>
      <c r="K941" s="159"/>
      <c r="L941" s="204" t="s">
        <v>942</v>
      </c>
      <c r="N941" s="141">
        <f t="shared" si="30"/>
        <v>685</v>
      </c>
    </row>
    <row r="942" spans="1:14" ht="15">
      <c r="A942" s="159"/>
      <c r="B942" s="143" t="str">
        <f t="shared" si="29"/>
        <v>686.</v>
      </c>
      <c r="C942" s="205" t="s">
        <v>938</v>
      </c>
      <c r="D942" s="162"/>
      <c r="E942" s="163"/>
      <c r="F942" s="159"/>
      <c r="G942" s="164"/>
      <c r="H942" s="204" t="s">
        <v>940</v>
      </c>
      <c r="I942" s="211">
        <v>2024</v>
      </c>
      <c r="J942" s="208">
        <v>4737</v>
      </c>
      <c r="K942" s="159"/>
      <c r="L942" s="204" t="s">
        <v>942</v>
      </c>
      <c r="N942" s="141">
        <f t="shared" si="30"/>
        <v>686</v>
      </c>
    </row>
    <row r="943" spans="1:14" ht="15">
      <c r="A943" s="159"/>
      <c r="B943" s="143" t="str">
        <f t="shared" si="29"/>
        <v>687.</v>
      </c>
      <c r="C943" s="205" t="s">
        <v>938</v>
      </c>
      <c r="D943" s="162"/>
      <c r="E943" s="163"/>
      <c r="F943" s="159"/>
      <c r="G943" s="164"/>
      <c r="H943" s="204" t="s">
        <v>940</v>
      </c>
      <c r="I943" s="211">
        <v>2024</v>
      </c>
      <c r="J943" s="208">
        <v>5247</v>
      </c>
      <c r="K943" s="159"/>
      <c r="L943" s="204" t="s">
        <v>942</v>
      </c>
      <c r="N943" s="141">
        <f t="shared" si="30"/>
        <v>687</v>
      </c>
    </row>
    <row r="944" spans="1:14" ht="15">
      <c r="A944" s="159"/>
      <c r="B944" s="143" t="str">
        <f t="shared" si="29"/>
        <v>688.</v>
      </c>
      <c r="C944" s="205" t="s">
        <v>938</v>
      </c>
      <c r="D944" s="162"/>
      <c r="E944" s="163"/>
      <c r="F944" s="159"/>
      <c r="G944" s="164"/>
      <c r="H944" s="204" t="s">
        <v>940</v>
      </c>
      <c r="I944" s="211">
        <v>2024</v>
      </c>
      <c r="J944" s="208">
        <v>4737</v>
      </c>
      <c r="K944" s="159"/>
      <c r="L944" s="204" t="s">
        <v>942</v>
      </c>
      <c r="N944" s="141">
        <f t="shared" si="30"/>
        <v>688</v>
      </c>
    </row>
    <row r="945" spans="1:14" ht="15">
      <c r="A945" s="159"/>
      <c r="B945" s="143" t="str">
        <f t="shared" si="29"/>
        <v>689.</v>
      </c>
      <c r="C945" s="205" t="s">
        <v>938</v>
      </c>
      <c r="D945" s="162"/>
      <c r="E945" s="163"/>
      <c r="F945" s="159"/>
      <c r="G945" s="164"/>
      <c r="H945" s="204" t="s">
        <v>940</v>
      </c>
      <c r="I945" s="211">
        <v>2024</v>
      </c>
      <c r="J945" s="208">
        <v>4737</v>
      </c>
      <c r="K945" s="159"/>
      <c r="L945" s="204" t="s">
        <v>942</v>
      </c>
      <c r="N945" s="141">
        <f t="shared" si="30"/>
        <v>689</v>
      </c>
    </row>
    <row r="946" spans="1:14" ht="15">
      <c r="A946" s="159"/>
      <c r="B946" s="143" t="str">
        <f t="shared" si="29"/>
        <v>690.</v>
      </c>
      <c r="C946" s="205" t="s">
        <v>938</v>
      </c>
      <c r="D946" s="162"/>
      <c r="E946" s="163"/>
      <c r="F946" s="159"/>
      <c r="G946" s="164"/>
      <c r="H946" s="204" t="s">
        <v>940</v>
      </c>
      <c r="I946" s="211">
        <v>2024</v>
      </c>
      <c r="J946" s="208">
        <v>5247</v>
      </c>
      <c r="K946" s="159"/>
      <c r="L946" s="204" t="s">
        <v>942</v>
      </c>
      <c r="N946" s="141">
        <f t="shared" si="30"/>
        <v>690</v>
      </c>
    </row>
    <row r="947" spans="1:14" ht="15">
      <c r="A947" s="159"/>
      <c r="B947" s="143" t="str">
        <f t="shared" si="29"/>
        <v>691.</v>
      </c>
      <c r="C947" s="205" t="s">
        <v>938</v>
      </c>
      <c r="D947" s="162"/>
      <c r="E947" s="163"/>
      <c r="F947" s="159"/>
      <c r="G947" s="164"/>
      <c r="H947" s="204" t="s">
        <v>940</v>
      </c>
      <c r="I947" s="211">
        <v>2024</v>
      </c>
      <c r="J947" s="208">
        <v>5247</v>
      </c>
      <c r="K947" s="159"/>
      <c r="L947" s="204" t="s">
        <v>942</v>
      </c>
      <c r="N947" s="141">
        <f t="shared" si="30"/>
        <v>691</v>
      </c>
    </row>
    <row r="948" spans="1:14" ht="15">
      <c r="A948" s="159"/>
      <c r="B948" s="143" t="str">
        <f t="shared" si="29"/>
        <v>692.</v>
      </c>
      <c r="C948" s="205" t="s">
        <v>938</v>
      </c>
      <c r="D948" s="162"/>
      <c r="E948" s="163"/>
      <c r="F948" s="159"/>
      <c r="G948" s="164"/>
      <c r="H948" s="204" t="s">
        <v>940</v>
      </c>
      <c r="I948" s="211">
        <v>2024</v>
      </c>
      <c r="J948" s="208">
        <v>5247</v>
      </c>
      <c r="K948" s="159"/>
      <c r="L948" s="204" t="s">
        <v>942</v>
      </c>
      <c r="N948" s="141">
        <f t="shared" si="30"/>
        <v>692</v>
      </c>
    </row>
    <row r="949" spans="1:14" ht="15">
      <c r="A949" s="159"/>
      <c r="B949" s="143" t="str">
        <f t="shared" si="29"/>
        <v>693.</v>
      </c>
      <c r="C949" s="205" t="s">
        <v>938</v>
      </c>
      <c r="D949" s="162"/>
      <c r="E949" s="163"/>
      <c r="F949" s="159"/>
      <c r="G949" s="164"/>
      <c r="H949" s="204" t="s">
        <v>940</v>
      </c>
      <c r="I949" s="211">
        <v>2024</v>
      </c>
      <c r="J949" s="208">
        <v>5247</v>
      </c>
      <c r="K949" s="159"/>
      <c r="L949" s="204" t="s">
        <v>942</v>
      </c>
      <c r="N949" s="141">
        <f t="shared" si="30"/>
        <v>693</v>
      </c>
    </row>
    <row r="950" spans="1:14" ht="15">
      <c r="A950" s="159"/>
      <c r="B950" s="143" t="str">
        <f t="shared" si="29"/>
        <v>694.</v>
      </c>
      <c r="C950" s="205" t="s">
        <v>938</v>
      </c>
      <c r="D950" s="162"/>
      <c r="E950" s="163"/>
      <c r="F950" s="159"/>
      <c r="G950" s="164"/>
      <c r="H950" s="204" t="s">
        <v>940</v>
      </c>
      <c r="I950" s="211">
        <v>2024</v>
      </c>
      <c r="J950" s="208">
        <v>4737</v>
      </c>
      <c r="K950" s="159"/>
      <c r="L950" s="204" t="s">
        <v>942</v>
      </c>
      <c r="N950" s="141">
        <f t="shared" si="30"/>
        <v>694</v>
      </c>
    </row>
    <row r="951" spans="1:14" ht="15">
      <c r="A951" s="159"/>
      <c r="B951" s="143" t="str">
        <f t="shared" si="29"/>
        <v>695.</v>
      </c>
      <c r="C951" s="205" t="s">
        <v>938</v>
      </c>
      <c r="D951" s="162"/>
      <c r="E951" s="163"/>
      <c r="F951" s="159"/>
      <c r="G951" s="164"/>
      <c r="H951" s="204" t="s">
        <v>940</v>
      </c>
      <c r="I951" s="211">
        <v>2024</v>
      </c>
      <c r="J951" s="208">
        <v>4200</v>
      </c>
      <c r="K951" s="159"/>
      <c r="L951" s="204" t="s">
        <v>942</v>
      </c>
      <c r="N951" s="141">
        <f t="shared" si="30"/>
        <v>695</v>
      </c>
    </row>
    <row r="952" spans="1:14" ht="15">
      <c r="A952" s="159"/>
      <c r="B952" s="143" t="str">
        <f t="shared" si="29"/>
        <v>696.</v>
      </c>
      <c r="C952" s="205" t="s">
        <v>938</v>
      </c>
      <c r="D952" s="162"/>
      <c r="E952" s="163"/>
      <c r="F952" s="159"/>
      <c r="G952" s="164"/>
      <c r="H952" s="204" t="s">
        <v>940</v>
      </c>
      <c r="I952" s="211">
        <v>2024</v>
      </c>
      <c r="J952" s="208">
        <v>4737</v>
      </c>
      <c r="K952" s="159"/>
      <c r="L952" s="204" t="s">
        <v>942</v>
      </c>
      <c r="N952" s="141">
        <f t="shared" si="30"/>
        <v>696</v>
      </c>
    </row>
    <row r="953" spans="1:14" ht="15">
      <c r="A953" s="159"/>
      <c r="B953" s="143" t="str">
        <f t="shared" si="29"/>
        <v>697.</v>
      </c>
      <c r="C953" s="205" t="s">
        <v>938</v>
      </c>
      <c r="D953" s="162"/>
      <c r="E953" s="163"/>
      <c r="F953" s="159"/>
      <c r="G953" s="164"/>
      <c r="H953" s="204" t="s">
        <v>940</v>
      </c>
      <c r="I953" s="211">
        <v>2024</v>
      </c>
      <c r="J953" s="208">
        <v>5809</v>
      </c>
      <c r="K953" s="159"/>
      <c r="L953" s="204" t="s">
        <v>942</v>
      </c>
      <c r="N953" s="141">
        <f t="shared" si="30"/>
        <v>697</v>
      </c>
    </row>
    <row r="954" spans="1:14" ht="15">
      <c r="A954" s="159"/>
      <c r="B954" s="143" t="str">
        <f t="shared" si="29"/>
        <v>698.</v>
      </c>
      <c r="C954" s="205" t="s">
        <v>938</v>
      </c>
      <c r="D954" s="162"/>
      <c r="E954" s="163"/>
      <c r="F954" s="159"/>
      <c r="G954" s="164"/>
      <c r="H954" s="204" t="s">
        <v>940</v>
      </c>
      <c r="I954" s="211">
        <v>2024</v>
      </c>
      <c r="J954" s="208">
        <v>4737</v>
      </c>
      <c r="K954" s="159"/>
      <c r="L954" s="204" t="s">
        <v>942</v>
      </c>
      <c r="N954" s="141">
        <f t="shared" si="30"/>
        <v>698</v>
      </c>
    </row>
    <row r="955" spans="1:14" ht="15">
      <c r="A955" s="159"/>
      <c r="B955" s="143" t="str">
        <f t="shared" si="29"/>
        <v>699.</v>
      </c>
      <c r="C955" s="205" t="s">
        <v>938</v>
      </c>
      <c r="D955" s="162"/>
      <c r="E955" s="163"/>
      <c r="F955" s="159"/>
      <c r="G955" s="164"/>
      <c r="H955" s="204" t="s">
        <v>940</v>
      </c>
      <c r="I955" s="211">
        <v>2024</v>
      </c>
      <c r="J955" s="208">
        <v>5247</v>
      </c>
      <c r="K955" s="159"/>
      <c r="L955" s="204" t="s">
        <v>942</v>
      </c>
      <c r="N955" s="141">
        <f t="shared" si="30"/>
        <v>699</v>
      </c>
    </row>
    <row r="956" spans="1:14" ht="15">
      <c r="A956" s="159"/>
      <c r="B956" s="143" t="str">
        <f t="shared" si="29"/>
        <v>700.</v>
      </c>
      <c r="C956" s="205" t="s">
        <v>938</v>
      </c>
      <c r="D956" s="162"/>
      <c r="E956" s="163"/>
      <c r="F956" s="159"/>
      <c r="G956" s="164"/>
      <c r="H956" s="204" t="s">
        <v>940</v>
      </c>
      <c r="I956" s="211">
        <v>2024</v>
      </c>
      <c r="J956" s="208">
        <v>4737</v>
      </c>
      <c r="K956" s="159"/>
      <c r="L956" s="204" t="s">
        <v>942</v>
      </c>
      <c r="N956" s="141">
        <f t="shared" si="30"/>
        <v>700</v>
      </c>
    </row>
    <row r="957" spans="1:14" ht="15">
      <c r="A957" s="159"/>
      <c r="B957" s="143" t="str">
        <f t="shared" si="29"/>
        <v>701.</v>
      </c>
      <c r="C957" s="205" t="s">
        <v>938</v>
      </c>
      <c r="D957" s="162"/>
      <c r="E957" s="163"/>
      <c r="F957" s="159"/>
      <c r="G957" s="164"/>
      <c r="H957" s="204" t="s">
        <v>940</v>
      </c>
      <c r="I957" s="211">
        <v>2024</v>
      </c>
      <c r="J957" s="208">
        <v>4737</v>
      </c>
      <c r="K957" s="159"/>
      <c r="L957" s="204" t="s">
        <v>942</v>
      </c>
      <c r="N957" s="141">
        <f t="shared" si="30"/>
        <v>701</v>
      </c>
    </row>
    <row r="958" spans="1:14" ht="15">
      <c r="A958" s="159"/>
      <c r="B958" s="143" t="str">
        <f t="shared" si="29"/>
        <v>702.</v>
      </c>
      <c r="C958" s="205" t="s">
        <v>938</v>
      </c>
      <c r="D958" s="162"/>
      <c r="E958" s="163"/>
      <c r="F958" s="159"/>
      <c r="G958" s="164"/>
      <c r="H958" s="204" t="s">
        <v>940</v>
      </c>
      <c r="I958" s="211">
        <v>2024</v>
      </c>
      <c r="J958" s="208">
        <v>6952</v>
      </c>
      <c r="K958" s="159"/>
      <c r="L958" s="204" t="s">
        <v>942</v>
      </c>
      <c r="N958" s="141">
        <f t="shared" si="30"/>
        <v>702</v>
      </c>
    </row>
    <row r="959" spans="1:14" ht="15">
      <c r="A959" s="159"/>
      <c r="B959" s="143" t="str">
        <f t="shared" si="29"/>
        <v>703.</v>
      </c>
      <c r="C959" s="205" t="s">
        <v>938</v>
      </c>
      <c r="D959" s="162"/>
      <c r="E959" s="163"/>
      <c r="F959" s="159"/>
      <c r="G959" s="164"/>
      <c r="H959" s="204" t="s">
        <v>940</v>
      </c>
      <c r="I959" s="211">
        <v>2024</v>
      </c>
      <c r="J959" s="208">
        <v>4737</v>
      </c>
      <c r="K959" s="159"/>
      <c r="L959" s="204" t="s">
        <v>942</v>
      </c>
      <c r="N959" s="141">
        <f t="shared" si="30"/>
        <v>703</v>
      </c>
    </row>
    <row r="960" spans="1:14" ht="15">
      <c r="A960" s="159"/>
      <c r="B960" s="143" t="str">
        <f t="shared" si="29"/>
        <v>704.</v>
      </c>
      <c r="C960" s="205" t="s">
        <v>938</v>
      </c>
      <c r="D960" s="162"/>
      <c r="E960" s="163"/>
      <c r="F960" s="159"/>
      <c r="G960" s="164"/>
      <c r="H960" s="204" t="s">
        <v>940</v>
      </c>
      <c r="I960" s="211">
        <v>2024</v>
      </c>
      <c r="J960" s="208">
        <v>4637</v>
      </c>
      <c r="K960" s="159"/>
      <c r="L960" s="204" t="s">
        <v>942</v>
      </c>
      <c r="N960" s="141">
        <f t="shared" si="30"/>
        <v>704</v>
      </c>
    </row>
    <row r="961" spans="1:14" ht="15">
      <c r="A961" s="159"/>
      <c r="B961" s="143" t="str">
        <f t="shared" ref="B961:B1024" si="31">N961&amp;"."</f>
        <v>705.</v>
      </c>
      <c r="C961" s="205" t="s">
        <v>938</v>
      </c>
      <c r="D961" s="162"/>
      <c r="E961" s="163"/>
      <c r="F961" s="159"/>
      <c r="G961" s="164"/>
      <c r="H961" s="204" t="s">
        <v>940</v>
      </c>
      <c r="I961" s="211">
        <v>2024</v>
      </c>
      <c r="J961" s="208">
        <v>4737</v>
      </c>
      <c r="K961" s="159"/>
      <c r="L961" s="204" t="s">
        <v>942</v>
      </c>
      <c r="N961" s="141">
        <f t="shared" si="30"/>
        <v>705</v>
      </c>
    </row>
    <row r="962" spans="1:14" ht="15">
      <c r="A962" s="159"/>
      <c r="B962" s="143" t="str">
        <f t="shared" si="31"/>
        <v>706.</v>
      </c>
      <c r="C962" s="205" t="s">
        <v>938</v>
      </c>
      <c r="D962" s="162"/>
      <c r="E962" s="163"/>
      <c r="F962" s="159"/>
      <c r="G962" s="164"/>
      <c r="H962" s="204" t="s">
        <v>940</v>
      </c>
      <c r="I962" s="211">
        <v>2024</v>
      </c>
      <c r="J962" s="208">
        <v>4737</v>
      </c>
      <c r="K962" s="159"/>
      <c r="L962" s="204" t="s">
        <v>942</v>
      </c>
      <c r="N962" s="141">
        <f t="shared" si="30"/>
        <v>706</v>
      </c>
    </row>
    <row r="963" spans="1:14" ht="15">
      <c r="A963" s="159"/>
      <c r="B963" s="143" t="str">
        <f t="shared" si="31"/>
        <v>707.</v>
      </c>
      <c r="C963" s="205" t="s">
        <v>938</v>
      </c>
      <c r="D963" s="162"/>
      <c r="E963" s="163"/>
      <c r="F963" s="159"/>
      <c r="G963" s="164"/>
      <c r="H963" s="204" t="s">
        <v>940</v>
      </c>
      <c r="I963" s="211">
        <v>2024</v>
      </c>
      <c r="J963" s="208">
        <v>4737</v>
      </c>
      <c r="K963" s="159"/>
      <c r="L963" s="204" t="s">
        <v>942</v>
      </c>
      <c r="N963" s="141">
        <f t="shared" ref="N963:N1026" si="32">N962+1</f>
        <v>707</v>
      </c>
    </row>
    <row r="964" spans="1:14" ht="15">
      <c r="A964" s="159"/>
      <c r="B964" s="143" t="str">
        <f t="shared" si="31"/>
        <v>708.</v>
      </c>
      <c r="C964" s="205" t="s">
        <v>938</v>
      </c>
      <c r="D964" s="162"/>
      <c r="E964" s="163"/>
      <c r="F964" s="159"/>
      <c r="G964" s="164"/>
      <c r="H964" s="204" t="s">
        <v>940</v>
      </c>
      <c r="I964" s="211">
        <v>2024</v>
      </c>
      <c r="J964" s="208">
        <v>6952</v>
      </c>
      <c r="K964" s="159"/>
      <c r="L964" s="204" t="s">
        <v>942</v>
      </c>
      <c r="N964" s="141">
        <f t="shared" si="32"/>
        <v>708</v>
      </c>
    </row>
    <row r="965" spans="1:14" ht="15">
      <c r="A965" s="159"/>
      <c r="B965" s="143" t="str">
        <f t="shared" si="31"/>
        <v>709.</v>
      </c>
      <c r="C965" s="205" t="s">
        <v>938</v>
      </c>
      <c r="D965" s="162"/>
      <c r="E965" s="163"/>
      <c r="F965" s="159"/>
      <c r="G965" s="164"/>
      <c r="H965" s="204" t="s">
        <v>940</v>
      </c>
      <c r="I965" s="211">
        <v>2024</v>
      </c>
      <c r="J965" s="208">
        <v>5247</v>
      </c>
      <c r="K965" s="159"/>
      <c r="L965" s="204" t="s">
        <v>942</v>
      </c>
      <c r="N965" s="141">
        <f t="shared" si="32"/>
        <v>709</v>
      </c>
    </row>
    <row r="966" spans="1:14" ht="15">
      <c r="A966" s="159"/>
      <c r="B966" s="143" t="str">
        <f t="shared" si="31"/>
        <v>710.</v>
      </c>
      <c r="C966" s="205" t="s">
        <v>938</v>
      </c>
      <c r="D966" s="162"/>
      <c r="E966" s="163"/>
      <c r="F966" s="159"/>
      <c r="G966" s="164"/>
      <c r="H966" s="204" t="s">
        <v>940</v>
      </c>
      <c r="I966" s="211">
        <v>2024</v>
      </c>
      <c r="J966" s="208">
        <v>5247</v>
      </c>
      <c r="K966" s="159"/>
      <c r="L966" s="204" t="s">
        <v>942</v>
      </c>
      <c r="N966" s="141">
        <f t="shared" si="32"/>
        <v>710</v>
      </c>
    </row>
    <row r="967" spans="1:14" ht="15">
      <c r="A967" s="159"/>
      <c r="B967" s="143" t="str">
        <f t="shared" si="31"/>
        <v>711.</v>
      </c>
      <c r="C967" s="205" t="s">
        <v>938</v>
      </c>
      <c r="D967" s="162"/>
      <c r="E967" s="163"/>
      <c r="F967" s="159"/>
      <c r="G967" s="164"/>
      <c r="H967" s="204" t="s">
        <v>940</v>
      </c>
      <c r="I967" s="211">
        <v>2024</v>
      </c>
      <c r="J967" s="208">
        <v>5809</v>
      </c>
      <c r="K967" s="159"/>
      <c r="L967" s="204" t="s">
        <v>942</v>
      </c>
      <c r="N967" s="141">
        <f t="shared" si="32"/>
        <v>711</v>
      </c>
    </row>
    <row r="968" spans="1:14" ht="15">
      <c r="A968" s="159"/>
      <c r="B968" s="143" t="str">
        <f t="shared" si="31"/>
        <v>712.</v>
      </c>
      <c r="C968" s="205" t="s">
        <v>938</v>
      </c>
      <c r="D968" s="162"/>
      <c r="E968" s="163"/>
      <c r="F968" s="159"/>
      <c r="G968" s="164"/>
      <c r="H968" s="204" t="s">
        <v>940</v>
      </c>
      <c r="I968" s="211">
        <v>2024</v>
      </c>
      <c r="J968" s="208">
        <v>3662</v>
      </c>
      <c r="K968" s="159"/>
      <c r="L968" s="204" t="s">
        <v>942</v>
      </c>
      <c r="N968" s="141">
        <f t="shared" si="32"/>
        <v>712</v>
      </c>
    </row>
    <row r="969" spans="1:14" ht="15">
      <c r="A969" s="159"/>
      <c r="B969" s="143" t="str">
        <f t="shared" si="31"/>
        <v>713.</v>
      </c>
      <c r="C969" s="205" t="s">
        <v>938</v>
      </c>
      <c r="D969" s="162"/>
      <c r="E969" s="163"/>
      <c r="F969" s="159"/>
      <c r="G969" s="164"/>
      <c r="H969" s="204" t="s">
        <v>940</v>
      </c>
      <c r="I969" s="211">
        <v>2024</v>
      </c>
      <c r="J969" s="208">
        <v>3662</v>
      </c>
      <c r="K969" s="159"/>
      <c r="L969" s="204" t="s">
        <v>942</v>
      </c>
      <c r="N969" s="141">
        <f t="shared" si="32"/>
        <v>713</v>
      </c>
    </row>
    <row r="970" spans="1:14" ht="15">
      <c r="A970" s="159"/>
      <c r="B970" s="143" t="str">
        <f t="shared" si="31"/>
        <v>714.</v>
      </c>
      <c r="C970" s="205" t="s">
        <v>938</v>
      </c>
      <c r="D970" s="162"/>
      <c r="E970" s="163"/>
      <c r="F970" s="159"/>
      <c r="G970" s="164"/>
      <c r="H970" s="204" t="s">
        <v>940</v>
      </c>
      <c r="I970" s="211">
        <v>2024</v>
      </c>
      <c r="J970" s="208">
        <v>4200</v>
      </c>
      <c r="K970" s="159"/>
      <c r="L970" s="204" t="s">
        <v>942</v>
      </c>
      <c r="N970" s="141">
        <f t="shared" si="32"/>
        <v>714</v>
      </c>
    </row>
    <row r="971" spans="1:14" ht="15">
      <c r="A971" s="159"/>
      <c r="B971" s="143" t="str">
        <f t="shared" si="31"/>
        <v>715.</v>
      </c>
      <c r="C971" s="205" t="s">
        <v>938</v>
      </c>
      <c r="D971" s="162"/>
      <c r="E971" s="163"/>
      <c r="F971" s="159"/>
      <c r="G971" s="164"/>
      <c r="H971" s="204" t="s">
        <v>940</v>
      </c>
      <c r="I971" s="211">
        <v>2024</v>
      </c>
      <c r="J971" s="208">
        <v>3662</v>
      </c>
      <c r="K971" s="159"/>
      <c r="L971" s="204" t="s">
        <v>942</v>
      </c>
      <c r="N971" s="141">
        <f t="shared" si="32"/>
        <v>715</v>
      </c>
    </row>
    <row r="972" spans="1:14" ht="15">
      <c r="A972" s="159"/>
      <c r="B972" s="143" t="str">
        <f t="shared" si="31"/>
        <v>716.</v>
      </c>
      <c r="C972" s="205" t="s">
        <v>938</v>
      </c>
      <c r="D972" s="162"/>
      <c r="E972" s="163"/>
      <c r="F972" s="159"/>
      <c r="G972" s="164"/>
      <c r="H972" s="204" t="s">
        <v>940</v>
      </c>
      <c r="I972" s="211">
        <v>2024</v>
      </c>
      <c r="J972" s="208">
        <v>3662</v>
      </c>
      <c r="K972" s="159"/>
      <c r="L972" s="204" t="s">
        <v>942</v>
      </c>
      <c r="N972" s="141">
        <f t="shared" si="32"/>
        <v>716</v>
      </c>
    </row>
    <row r="973" spans="1:14" ht="15">
      <c r="A973" s="159"/>
      <c r="B973" s="143" t="str">
        <f t="shared" si="31"/>
        <v>717.</v>
      </c>
      <c r="C973" s="205" t="s">
        <v>938</v>
      </c>
      <c r="D973" s="162"/>
      <c r="E973" s="163"/>
      <c r="F973" s="159"/>
      <c r="G973" s="164"/>
      <c r="H973" s="204" t="s">
        <v>940</v>
      </c>
      <c r="I973" s="211">
        <v>2024</v>
      </c>
      <c r="J973" s="208">
        <v>3662</v>
      </c>
      <c r="K973" s="159"/>
      <c r="L973" s="204" t="s">
        <v>942</v>
      </c>
      <c r="N973" s="141">
        <f t="shared" si="32"/>
        <v>717</v>
      </c>
    </row>
    <row r="974" spans="1:14" ht="15">
      <c r="A974" s="159"/>
      <c r="B974" s="143" t="str">
        <f t="shared" si="31"/>
        <v>718.</v>
      </c>
      <c r="C974" s="205" t="s">
        <v>938</v>
      </c>
      <c r="D974" s="162"/>
      <c r="E974" s="163"/>
      <c r="F974" s="159"/>
      <c r="G974" s="164"/>
      <c r="H974" s="204" t="s">
        <v>940</v>
      </c>
      <c r="I974" s="211">
        <v>2024</v>
      </c>
      <c r="J974" s="208">
        <v>3662</v>
      </c>
      <c r="K974" s="159"/>
      <c r="L974" s="204" t="s">
        <v>942</v>
      </c>
      <c r="N974" s="141">
        <f t="shared" si="32"/>
        <v>718</v>
      </c>
    </row>
    <row r="975" spans="1:14" ht="15">
      <c r="A975" s="159"/>
      <c r="B975" s="143" t="str">
        <f t="shared" si="31"/>
        <v>719.</v>
      </c>
      <c r="C975" s="205" t="s">
        <v>938</v>
      </c>
      <c r="D975" s="162"/>
      <c r="E975" s="163"/>
      <c r="F975" s="159"/>
      <c r="G975" s="164"/>
      <c r="H975" s="204" t="s">
        <v>940</v>
      </c>
      <c r="I975" s="211">
        <v>2024</v>
      </c>
      <c r="J975" s="208">
        <v>3662</v>
      </c>
      <c r="K975" s="159"/>
      <c r="L975" s="204" t="s">
        <v>942</v>
      </c>
      <c r="N975" s="141">
        <f t="shared" si="32"/>
        <v>719</v>
      </c>
    </row>
    <row r="976" spans="1:14" ht="15">
      <c r="A976" s="159"/>
      <c r="B976" s="143" t="str">
        <f t="shared" si="31"/>
        <v>720.</v>
      </c>
      <c r="C976" s="205" t="s">
        <v>938</v>
      </c>
      <c r="D976" s="162"/>
      <c r="E976" s="163"/>
      <c r="F976" s="159"/>
      <c r="G976" s="164"/>
      <c r="H976" s="204" t="s">
        <v>940</v>
      </c>
      <c r="I976" s="211">
        <v>2024</v>
      </c>
      <c r="J976" s="208">
        <v>3662</v>
      </c>
      <c r="K976" s="159"/>
      <c r="L976" s="204" t="s">
        <v>942</v>
      </c>
      <c r="N976" s="141">
        <f t="shared" si="32"/>
        <v>720</v>
      </c>
    </row>
    <row r="977" spans="1:14" ht="15">
      <c r="A977" s="159"/>
      <c r="B977" s="143" t="str">
        <f t="shared" si="31"/>
        <v>721.</v>
      </c>
      <c r="C977" s="205" t="s">
        <v>938</v>
      </c>
      <c r="D977" s="162"/>
      <c r="E977" s="163"/>
      <c r="F977" s="159"/>
      <c r="G977" s="164"/>
      <c r="H977" s="204" t="s">
        <v>940</v>
      </c>
      <c r="I977" s="211">
        <v>2024</v>
      </c>
      <c r="J977" s="208">
        <v>3662</v>
      </c>
      <c r="K977" s="159"/>
      <c r="L977" s="204" t="s">
        <v>942</v>
      </c>
      <c r="N977" s="141">
        <f t="shared" si="32"/>
        <v>721</v>
      </c>
    </row>
    <row r="978" spans="1:14" ht="15">
      <c r="A978" s="159"/>
      <c r="B978" s="143" t="str">
        <f t="shared" si="31"/>
        <v>722.</v>
      </c>
      <c r="C978" s="205" t="s">
        <v>938</v>
      </c>
      <c r="D978" s="162"/>
      <c r="E978" s="163"/>
      <c r="F978" s="159"/>
      <c r="G978" s="164"/>
      <c r="H978" s="204" t="s">
        <v>940</v>
      </c>
      <c r="I978" s="211">
        <v>2024</v>
      </c>
      <c r="J978" s="208">
        <v>3662</v>
      </c>
      <c r="K978" s="159"/>
      <c r="L978" s="204" t="s">
        <v>942</v>
      </c>
      <c r="N978" s="141">
        <f t="shared" si="32"/>
        <v>722</v>
      </c>
    </row>
    <row r="979" spans="1:14" ht="15">
      <c r="A979" s="159"/>
      <c r="B979" s="143" t="str">
        <f t="shared" si="31"/>
        <v>723.</v>
      </c>
      <c r="C979" s="205" t="s">
        <v>938</v>
      </c>
      <c r="D979" s="162"/>
      <c r="E979" s="163"/>
      <c r="F979" s="159"/>
      <c r="G979" s="164"/>
      <c r="H979" s="204" t="s">
        <v>940</v>
      </c>
      <c r="I979" s="211">
        <v>2024</v>
      </c>
      <c r="J979" s="208">
        <v>4200</v>
      </c>
      <c r="K979" s="159"/>
      <c r="L979" s="204" t="s">
        <v>942</v>
      </c>
      <c r="N979" s="141">
        <f t="shared" si="32"/>
        <v>723</v>
      </c>
    </row>
    <row r="980" spans="1:14" ht="15">
      <c r="A980" s="159"/>
      <c r="B980" s="143" t="str">
        <f t="shared" si="31"/>
        <v>724.</v>
      </c>
      <c r="C980" s="205" t="s">
        <v>938</v>
      </c>
      <c r="D980" s="162"/>
      <c r="E980" s="163"/>
      <c r="F980" s="159"/>
      <c r="G980" s="164"/>
      <c r="H980" s="204" t="s">
        <v>940</v>
      </c>
      <c r="I980" s="211">
        <v>2024</v>
      </c>
      <c r="J980" s="208">
        <v>3662</v>
      </c>
      <c r="K980" s="159"/>
      <c r="L980" s="204" t="s">
        <v>942</v>
      </c>
      <c r="N980" s="141">
        <f t="shared" si="32"/>
        <v>724</v>
      </c>
    </row>
    <row r="981" spans="1:14" ht="15">
      <c r="A981" s="159"/>
      <c r="B981" s="143" t="str">
        <f t="shared" si="31"/>
        <v>725.</v>
      </c>
      <c r="C981" s="205" t="s">
        <v>938</v>
      </c>
      <c r="D981" s="162"/>
      <c r="E981" s="163"/>
      <c r="F981" s="159"/>
      <c r="G981" s="164"/>
      <c r="H981" s="204" t="s">
        <v>940</v>
      </c>
      <c r="I981" s="211">
        <v>2024</v>
      </c>
      <c r="J981" s="208">
        <v>3662</v>
      </c>
      <c r="K981" s="159"/>
      <c r="L981" s="204" t="s">
        <v>942</v>
      </c>
      <c r="N981" s="141">
        <f t="shared" si="32"/>
        <v>725</v>
      </c>
    </row>
    <row r="982" spans="1:14" ht="15">
      <c r="A982" s="159"/>
      <c r="B982" s="143" t="str">
        <f t="shared" si="31"/>
        <v>726.</v>
      </c>
      <c r="C982" s="205" t="s">
        <v>938</v>
      </c>
      <c r="D982" s="162"/>
      <c r="E982" s="163"/>
      <c r="F982" s="159"/>
      <c r="G982" s="164"/>
      <c r="H982" s="204" t="s">
        <v>940</v>
      </c>
      <c r="I982" s="211">
        <v>2024</v>
      </c>
      <c r="J982" s="208">
        <v>4200</v>
      </c>
      <c r="K982" s="159"/>
      <c r="L982" s="204" t="s">
        <v>942</v>
      </c>
      <c r="N982" s="141">
        <f t="shared" si="32"/>
        <v>726</v>
      </c>
    </row>
    <row r="983" spans="1:14" ht="15">
      <c r="A983" s="159"/>
      <c r="B983" s="143" t="str">
        <f t="shared" si="31"/>
        <v>727.</v>
      </c>
      <c r="C983" s="205" t="s">
        <v>938</v>
      </c>
      <c r="D983" s="162"/>
      <c r="E983" s="163"/>
      <c r="F983" s="159"/>
      <c r="G983" s="164"/>
      <c r="H983" s="204" t="s">
        <v>940</v>
      </c>
      <c r="I983" s="211">
        <v>2024</v>
      </c>
      <c r="J983" s="208">
        <v>3662</v>
      </c>
      <c r="K983" s="159"/>
      <c r="L983" s="204" t="s">
        <v>942</v>
      </c>
      <c r="N983" s="141">
        <f t="shared" si="32"/>
        <v>727</v>
      </c>
    </row>
    <row r="984" spans="1:14" ht="15">
      <c r="A984" s="159"/>
      <c r="B984" s="143" t="str">
        <f t="shared" si="31"/>
        <v>728.</v>
      </c>
      <c r="C984" s="205" t="s">
        <v>938</v>
      </c>
      <c r="D984" s="162"/>
      <c r="E984" s="163"/>
      <c r="F984" s="159"/>
      <c r="G984" s="164"/>
      <c r="H984" s="204" t="s">
        <v>940</v>
      </c>
      <c r="I984" s="211">
        <v>2024</v>
      </c>
      <c r="J984" s="208">
        <v>3662</v>
      </c>
      <c r="K984" s="159"/>
      <c r="L984" s="204" t="s">
        <v>942</v>
      </c>
      <c r="N984" s="141">
        <f t="shared" si="32"/>
        <v>728</v>
      </c>
    </row>
    <row r="985" spans="1:14" ht="15">
      <c r="A985" s="159"/>
      <c r="B985" s="143" t="str">
        <f t="shared" si="31"/>
        <v>729.</v>
      </c>
      <c r="C985" s="205" t="s">
        <v>938</v>
      </c>
      <c r="D985" s="162"/>
      <c r="E985" s="163"/>
      <c r="F985" s="159"/>
      <c r="G985" s="164"/>
      <c r="H985" s="204" t="s">
        <v>940</v>
      </c>
      <c r="I985" s="211">
        <v>2024</v>
      </c>
      <c r="J985" s="208">
        <v>3662</v>
      </c>
      <c r="K985" s="159"/>
      <c r="L985" s="204" t="s">
        <v>942</v>
      </c>
      <c r="N985" s="141">
        <f t="shared" si="32"/>
        <v>729</v>
      </c>
    </row>
    <row r="986" spans="1:14" ht="15">
      <c r="A986" s="159"/>
      <c r="B986" s="143" t="str">
        <f t="shared" si="31"/>
        <v>730.</v>
      </c>
      <c r="C986" s="205" t="s">
        <v>938</v>
      </c>
      <c r="D986" s="162"/>
      <c r="E986" s="163"/>
      <c r="F986" s="159"/>
      <c r="G986" s="164"/>
      <c r="H986" s="204" t="s">
        <v>940</v>
      </c>
      <c r="I986" s="211">
        <v>2024</v>
      </c>
      <c r="J986" s="208">
        <v>3662</v>
      </c>
      <c r="K986" s="159"/>
      <c r="L986" s="204" t="s">
        <v>942</v>
      </c>
      <c r="N986" s="141">
        <f t="shared" si="32"/>
        <v>730</v>
      </c>
    </row>
    <row r="987" spans="1:14" ht="15">
      <c r="A987" s="159"/>
      <c r="B987" s="143" t="str">
        <f t="shared" si="31"/>
        <v>731.</v>
      </c>
      <c r="C987" s="205" t="s">
        <v>938</v>
      </c>
      <c r="D987" s="162"/>
      <c r="E987" s="163"/>
      <c r="F987" s="159"/>
      <c r="G987" s="164"/>
      <c r="H987" s="204" t="s">
        <v>940</v>
      </c>
      <c r="I987" s="211">
        <v>2024</v>
      </c>
      <c r="J987" s="208">
        <v>5247</v>
      </c>
      <c r="K987" s="159"/>
      <c r="L987" s="204" t="s">
        <v>942</v>
      </c>
      <c r="N987" s="141">
        <f t="shared" si="32"/>
        <v>731</v>
      </c>
    </row>
    <row r="988" spans="1:14" ht="15">
      <c r="A988" s="159"/>
      <c r="B988" s="143" t="str">
        <f t="shared" si="31"/>
        <v>732.</v>
      </c>
      <c r="C988" s="205" t="s">
        <v>938</v>
      </c>
      <c r="D988" s="162"/>
      <c r="E988" s="163"/>
      <c r="F988" s="159"/>
      <c r="G988" s="164"/>
      <c r="H988" s="204" t="s">
        <v>940</v>
      </c>
      <c r="I988" s="211">
        <v>2024</v>
      </c>
      <c r="J988" s="208">
        <v>5247</v>
      </c>
      <c r="K988" s="159"/>
      <c r="L988" s="204" t="s">
        <v>942</v>
      </c>
      <c r="N988" s="141">
        <f t="shared" si="32"/>
        <v>732</v>
      </c>
    </row>
    <row r="989" spans="1:14" ht="15">
      <c r="A989" s="159"/>
      <c r="B989" s="143" t="str">
        <f t="shared" si="31"/>
        <v>733.</v>
      </c>
      <c r="C989" s="205" t="s">
        <v>938</v>
      </c>
      <c r="D989" s="162"/>
      <c r="E989" s="163"/>
      <c r="F989" s="159"/>
      <c r="G989" s="164"/>
      <c r="H989" s="204" t="s">
        <v>940</v>
      </c>
      <c r="I989" s="211">
        <v>2024</v>
      </c>
      <c r="J989" s="208">
        <v>3662</v>
      </c>
      <c r="K989" s="159"/>
      <c r="L989" s="204" t="s">
        <v>942</v>
      </c>
      <c r="N989" s="141">
        <f t="shared" si="32"/>
        <v>733</v>
      </c>
    </row>
    <row r="990" spans="1:14" ht="15">
      <c r="A990" s="159"/>
      <c r="B990" s="143" t="str">
        <f t="shared" si="31"/>
        <v>734.</v>
      </c>
      <c r="C990" s="205" t="s">
        <v>938</v>
      </c>
      <c r="D990" s="162"/>
      <c r="E990" s="163"/>
      <c r="F990" s="159"/>
      <c r="G990" s="164"/>
      <c r="H990" s="204" t="s">
        <v>940</v>
      </c>
      <c r="I990" s="211">
        <v>2024</v>
      </c>
      <c r="J990" s="208">
        <v>3662</v>
      </c>
      <c r="K990" s="159"/>
      <c r="L990" s="204" t="s">
        <v>942</v>
      </c>
      <c r="N990" s="141">
        <f t="shared" si="32"/>
        <v>734</v>
      </c>
    </row>
    <row r="991" spans="1:14" ht="15">
      <c r="A991" s="159"/>
      <c r="B991" s="143" t="str">
        <f t="shared" si="31"/>
        <v>735.</v>
      </c>
      <c r="C991" s="205" t="s">
        <v>938</v>
      </c>
      <c r="D991" s="162"/>
      <c r="E991" s="163"/>
      <c r="F991" s="159"/>
      <c r="G991" s="164"/>
      <c r="H991" s="204" t="s">
        <v>940</v>
      </c>
      <c r="I991" s="211">
        <v>2024</v>
      </c>
      <c r="J991" s="208">
        <v>4200</v>
      </c>
      <c r="K991" s="159"/>
      <c r="L991" s="204" t="s">
        <v>942</v>
      </c>
      <c r="N991" s="141">
        <f t="shared" si="32"/>
        <v>735</v>
      </c>
    </row>
    <row r="992" spans="1:14" ht="15">
      <c r="A992" s="159"/>
      <c r="B992" s="143" t="str">
        <f t="shared" si="31"/>
        <v>736.</v>
      </c>
      <c r="C992" s="205" t="s">
        <v>938</v>
      </c>
      <c r="D992" s="162"/>
      <c r="E992" s="163"/>
      <c r="F992" s="159"/>
      <c r="G992" s="164"/>
      <c r="H992" s="204" t="s">
        <v>940</v>
      </c>
      <c r="I992" s="211">
        <v>2024</v>
      </c>
      <c r="J992" s="208">
        <v>3662</v>
      </c>
      <c r="K992" s="159"/>
      <c r="L992" s="204" t="s">
        <v>942</v>
      </c>
      <c r="N992" s="141">
        <f t="shared" si="32"/>
        <v>736</v>
      </c>
    </row>
    <row r="993" spans="1:14" ht="15">
      <c r="A993" s="159"/>
      <c r="B993" s="143" t="str">
        <f t="shared" si="31"/>
        <v>737.</v>
      </c>
      <c r="C993" s="205" t="s">
        <v>938</v>
      </c>
      <c r="D993" s="162"/>
      <c r="E993" s="163"/>
      <c r="F993" s="159"/>
      <c r="G993" s="164"/>
      <c r="H993" s="204" t="s">
        <v>940</v>
      </c>
      <c r="I993" s="211">
        <v>2024</v>
      </c>
      <c r="J993" s="208">
        <v>3662</v>
      </c>
      <c r="K993" s="159"/>
      <c r="L993" s="204" t="s">
        <v>942</v>
      </c>
      <c r="N993" s="141">
        <f t="shared" si="32"/>
        <v>737</v>
      </c>
    </row>
    <row r="994" spans="1:14" ht="15">
      <c r="A994" s="159"/>
      <c r="B994" s="143" t="str">
        <f t="shared" si="31"/>
        <v>738.</v>
      </c>
      <c r="C994" s="205" t="s">
        <v>938</v>
      </c>
      <c r="D994" s="162"/>
      <c r="E994" s="163"/>
      <c r="F994" s="159"/>
      <c r="G994" s="164"/>
      <c r="H994" s="204" t="s">
        <v>940</v>
      </c>
      <c r="I994" s="211">
        <v>2024</v>
      </c>
      <c r="J994" s="208">
        <v>4200</v>
      </c>
      <c r="K994" s="159"/>
      <c r="L994" s="204" t="s">
        <v>942</v>
      </c>
      <c r="N994" s="141">
        <f t="shared" si="32"/>
        <v>738</v>
      </c>
    </row>
    <row r="995" spans="1:14" ht="15">
      <c r="A995" s="159"/>
      <c r="B995" s="143" t="str">
        <f t="shared" si="31"/>
        <v>739.</v>
      </c>
      <c r="C995" s="205" t="s">
        <v>938</v>
      </c>
      <c r="D995" s="162"/>
      <c r="E995" s="163"/>
      <c r="F995" s="159"/>
      <c r="G995" s="164"/>
      <c r="H995" s="204" t="s">
        <v>940</v>
      </c>
      <c r="I995" s="211">
        <v>2024</v>
      </c>
      <c r="J995" s="208">
        <v>3662</v>
      </c>
      <c r="K995" s="159"/>
      <c r="L995" s="204" t="s">
        <v>942</v>
      </c>
      <c r="N995" s="141">
        <f t="shared" si="32"/>
        <v>739</v>
      </c>
    </row>
    <row r="996" spans="1:14" ht="15">
      <c r="A996" s="159"/>
      <c r="B996" s="143" t="str">
        <f t="shared" si="31"/>
        <v>740.</v>
      </c>
      <c r="C996" s="205" t="s">
        <v>938</v>
      </c>
      <c r="D996" s="162"/>
      <c r="E996" s="163"/>
      <c r="F996" s="159"/>
      <c r="G996" s="164"/>
      <c r="H996" s="204" t="s">
        <v>940</v>
      </c>
      <c r="I996" s="211">
        <v>2024</v>
      </c>
      <c r="J996" s="208">
        <v>3662</v>
      </c>
      <c r="K996" s="159"/>
      <c r="L996" s="204" t="s">
        <v>942</v>
      </c>
      <c r="N996" s="141">
        <f t="shared" si="32"/>
        <v>740</v>
      </c>
    </row>
    <row r="997" spans="1:14" ht="15">
      <c r="A997" s="159"/>
      <c r="B997" s="143" t="str">
        <f t="shared" si="31"/>
        <v>741.</v>
      </c>
      <c r="C997" s="205" t="s">
        <v>938</v>
      </c>
      <c r="D997" s="162"/>
      <c r="E997" s="163"/>
      <c r="F997" s="159"/>
      <c r="G997" s="164"/>
      <c r="H997" s="204" t="s">
        <v>940</v>
      </c>
      <c r="I997" s="211">
        <v>2024</v>
      </c>
      <c r="J997" s="208">
        <v>3662</v>
      </c>
      <c r="K997" s="159"/>
      <c r="L997" s="204" t="s">
        <v>942</v>
      </c>
      <c r="N997" s="141">
        <f t="shared" si="32"/>
        <v>741</v>
      </c>
    </row>
    <row r="998" spans="1:14" ht="15">
      <c r="A998" s="159"/>
      <c r="B998" s="143" t="str">
        <f t="shared" si="31"/>
        <v>742.</v>
      </c>
      <c r="C998" s="205" t="s">
        <v>938</v>
      </c>
      <c r="D998" s="162"/>
      <c r="E998" s="163"/>
      <c r="F998" s="159"/>
      <c r="G998" s="164"/>
      <c r="H998" s="204" t="s">
        <v>940</v>
      </c>
      <c r="I998" s="211">
        <v>2024</v>
      </c>
      <c r="J998" s="208">
        <v>5156</v>
      </c>
      <c r="K998" s="159"/>
      <c r="L998" s="204" t="s">
        <v>942</v>
      </c>
      <c r="N998" s="141">
        <f t="shared" si="32"/>
        <v>742</v>
      </c>
    </row>
    <row r="999" spans="1:14" ht="15">
      <c r="A999" s="159"/>
      <c r="B999" s="143" t="str">
        <f t="shared" si="31"/>
        <v>743.</v>
      </c>
      <c r="C999" s="205" t="s">
        <v>938</v>
      </c>
      <c r="D999" s="162"/>
      <c r="E999" s="163"/>
      <c r="F999" s="159"/>
      <c r="G999" s="164"/>
      <c r="H999" s="204" t="s">
        <v>940</v>
      </c>
      <c r="I999" s="211">
        <v>2024</v>
      </c>
      <c r="J999" s="208">
        <v>4200</v>
      </c>
      <c r="K999" s="159"/>
      <c r="L999" s="204" t="s">
        <v>942</v>
      </c>
      <c r="N999" s="141">
        <f t="shared" si="32"/>
        <v>743</v>
      </c>
    </row>
    <row r="1000" spans="1:14" ht="15">
      <c r="A1000" s="159"/>
      <c r="B1000" s="143" t="str">
        <f t="shared" si="31"/>
        <v>744.</v>
      </c>
      <c r="C1000" s="205" t="s">
        <v>938</v>
      </c>
      <c r="D1000" s="162"/>
      <c r="E1000" s="163"/>
      <c r="F1000" s="159"/>
      <c r="G1000" s="164"/>
      <c r="H1000" s="204" t="s">
        <v>940</v>
      </c>
      <c r="I1000" s="211">
        <v>2024</v>
      </c>
      <c r="J1000" s="208">
        <v>3662</v>
      </c>
      <c r="K1000" s="159"/>
      <c r="L1000" s="204" t="s">
        <v>942</v>
      </c>
      <c r="N1000" s="141">
        <f t="shared" si="32"/>
        <v>744</v>
      </c>
    </row>
    <row r="1001" spans="1:14" ht="15">
      <c r="A1001" s="159"/>
      <c r="B1001" s="143" t="str">
        <f t="shared" si="31"/>
        <v>745.</v>
      </c>
      <c r="C1001" s="205" t="s">
        <v>938</v>
      </c>
      <c r="D1001" s="162"/>
      <c r="E1001" s="163"/>
      <c r="F1001" s="159"/>
      <c r="G1001" s="164"/>
      <c r="H1001" s="204" t="s">
        <v>940</v>
      </c>
      <c r="I1001" s="211">
        <v>2024</v>
      </c>
      <c r="J1001" s="208">
        <v>3662</v>
      </c>
      <c r="K1001" s="159"/>
      <c r="L1001" s="204" t="s">
        <v>942</v>
      </c>
      <c r="N1001" s="141">
        <f t="shared" si="32"/>
        <v>745</v>
      </c>
    </row>
    <row r="1002" spans="1:14" ht="15">
      <c r="A1002" s="159"/>
      <c r="B1002" s="143" t="str">
        <f t="shared" si="31"/>
        <v>746.</v>
      </c>
      <c r="C1002" s="205" t="s">
        <v>938</v>
      </c>
      <c r="D1002" s="162"/>
      <c r="E1002" s="163"/>
      <c r="F1002" s="159"/>
      <c r="G1002" s="164"/>
      <c r="H1002" s="204" t="s">
        <v>940</v>
      </c>
      <c r="I1002" s="211">
        <v>2024</v>
      </c>
      <c r="J1002" s="208">
        <v>3662</v>
      </c>
      <c r="K1002" s="159"/>
      <c r="L1002" s="204" t="s">
        <v>942</v>
      </c>
      <c r="N1002" s="141">
        <f t="shared" si="32"/>
        <v>746</v>
      </c>
    </row>
    <row r="1003" spans="1:14" ht="15">
      <c r="A1003" s="159"/>
      <c r="B1003" s="143" t="str">
        <f t="shared" si="31"/>
        <v>747.</v>
      </c>
      <c r="C1003" s="205" t="s">
        <v>938</v>
      </c>
      <c r="D1003" s="162"/>
      <c r="E1003" s="163"/>
      <c r="F1003" s="159"/>
      <c r="G1003" s="164"/>
      <c r="H1003" s="204" t="s">
        <v>940</v>
      </c>
      <c r="I1003" s="211">
        <v>2024</v>
      </c>
      <c r="J1003" s="208">
        <v>4200</v>
      </c>
      <c r="K1003" s="159"/>
      <c r="L1003" s="204" t="s">
        <v>942</v>
      </c>
      <c r="N1003" s="141">
        <f t="shared" si="32"/>
        <v>747</v>
      </c>
    </row>
    <row r="1004" spans="1:14" ht="15">
      <c r="A1004" s="159"/>
      <c r="B1004" s="143" t="str">
        <f t="shared" si="31"/>
        <v>748.</v>
      </c>
      <c r="C1004" s="205" t="s">
        <v>938</v>
      </c>
      <c r="D1004" s="162"/>
      <c r="E1004" s="163"/>
      <c r="F1004" s="159"/>
      <c r="G1004" s="164"/>
      <c r="H1004" s="204" t="s">
        <v>940</v>
      </c>
      <c r="I1004" s="211">
        <v>2024</v>
      </c>
      <c r="J1004" s="208">
        <v>3662</v>
      </c>
      <c r="K1004" s="159"/>
      <c r="L1004" s="204" t="s">
        <v>942</v>
      </c>
      <c r="N1004" s="141">
        <f t="shared" si="32"/>
        <v>748</v>
      </c>
    </row>
    <row r="1005" spans="1:14" ht="15">
      <c r="A1005" s="159"/>
      <c r="B1005" s="143" t="str">
        <f t="shared" si="31"/>
        <v>749.</v>
      </c>
      <c r="C1005" s="205" t="s">
        <v>938</v>
      </c>
      <c r="D1005" s="162"/>
      <c r="E1005" s="163"/>
      <c r="F1005" s="159"/>
      <c r="G1005" s="164"/>
      <c r="H1005" s="204" t="s">
        <v>940</v>
      </c>
      <c r="I1005" s="211">
        <v>2024</v>
      </c>
      <c r="J1005" s="208">
        <v>4737</v>
      </c>
      <c r="K1005" s="159"/>
      <c r="L1005" s="204" t="s">
        <v>942</v>
      </c>
      <c r="N1005" s="141">
        <f t="shared" si="32"/>
        <v>749</v>
      </c>
    </row>
    <row r="1006" spans="1:14" ht="15">
      <c r="A1006" s="159"/>
      <c r="B1006" s="143" t="str">
        <f t="shared" si="31"/>
        <v>750.</v>
      </c>
      <c r="C1006" s="205" t="s">
        <v>938</v>
      </c>
      <c r="D1006" s="162"/>
      <c r="E1006" s="163"/>
      <c r="F1006" s="159"/>
      <c r="G1006" s="164"/>
      <c r="H1006" s="204" t="s">
        <v>940</v>
      </c>
      <c r="I1006" s="211">
        <v>2024</v>
      </c>
      <c r="J1006" s="208">
        <v>3662</v>
      </c>
      <c r="K1006" s="159"/>
      <c r="L1006" s="204" t="s">
        <v>942</v>
      </c>
      <c r="N1006" s="141">
        <f t="shared" si="32"/>
        <v>750</v>
      </c>
    </row>
    <row r="1007" spans="1:14" ht="15">
      <c r="A1007" s="159"/>
      <c r="B1007" s="143" t="str">
        <f t="shared" si="31"/>
        <v>751.</v>
      </c>
      <c r="C1007" s="205" t="s">
        <v>938</v>
      </c>
      <c r="D1007" s="162"/>
      <c r="E1007" s="163"/>
      <c r="F1007" s="159"/>
      <c r="G1007" s="164"/>
      <c r="H1007" s="204" t="s">
        <v>940</v>
      </c>
      <c r="I1007" s="211">
        <v>2024</v>
      </c>
      <c r="J1007" s="208">
        <v>3662</v>
      </c>
      <c r="K1007" s="159"/>
      <c r="L1007" s="204" t="s">
        <v>942</v>
      </c>
      <c r="N1007" s="141">
        <f t="shared" si="32"/>
        <v>751</v>
      </c>
    </row>
    <row r="1008" spans="1:14" ht="15">
      <c r="A1008" s="159"/>
      <c r="B1008" s="143" t="str">
        <f t="shared" si="31"/>
        <v>752.</v>
      </c>
      <c r="C1008" s="205" t="s">
        <v>938</v>
      </c>
      <c r="D1008" s="162"/>
      <c r="E1008" s="163"/>
      <c r="F1008" s="159"/>
      <c r="G1008" s="164"/>
      <c r="H1008" s="204" t="s">
        <v>940</v>
      </c>
      <c r="I1008" s="211">
        <v>2024</v>
      </c>
      <c r="J1008" s="208">
        <v>4737</v>
      </c>
      <c r="K1008" s="159"/>
      <c r="L1008" s="204" t="s">
        <v>942</v>
      </c>
      <c r="N1008" s="141">
        <f t="shared" si="32"/>
        <v>752</v>
      </c>
    </row>
    <row r="1009" spans="1:14" ht="15">
      <c r="A1009" s="159"/>
      <c r="B1009" s="143" t="str">
        <f t="shared" si="31"/>
        <v>753.</v>
      </c>
      <c r="C1009" s="205" t="s">
        <v>938</v>
      </c>
      <c r="D1009" s="162"/>
      <c r="E1009" s="163"/>
      <c r="F1009" s="159"/>
      <c r="G1009" s="164"/>
      <c r="H1009" s="204" t="s">
        <v>940</v>
      </c>
      <c r="I1009" s="211">
        <v>2024</v>
      </c>
      <c r="J1009" s="208">
        <v>3662</v>
      </c>
      <c r="K1009" s="159"/>
      <c r="L1009" s="204" t="s">
        <v>942</v>
      </c>
      <c r="N1009" s="141">
        <f t="shared" si="32"/>
        <v>753</v>
      </c>
    </row>
    <row r="1010" spans="1:14" ht="15">
      <c r="A1010" s="159"/>
      <c r="B1010" s="143" t="str">
        <f t="shared" si="31"/>
        <v>754.</v>
      </c>
      <c r="C1010" s="205" t="s">
        <v>938</v>
      </c>
      <c r="D1010" s="162"/>
      <c r="E1010" s="163"/>
      <c r="F1010" s="159"/>
      <c r="G1010" s="164"/>
      <c r="H1010" s="204" t="s">
        <v>940</v>
      </c>
      <c r="I1010" s="211">
        <v>2024</v>
      </c>
      <c r="J1010" s="208">
        <v>3662</v>
      </c>
      <c r="K1010" s="159"/>
      <c r="L1010" s="204" t="s">
        <v>942</v>
      </c>
      <c r="N1010" s="141">
        <f t="shared" si="32"/>
        <v>754</v>
      </c>
    </row>
    <row r="1011" spans="1:14" ht="15">
      <c r="A1011" s="159"/>
      <c r="B1011" s="143" t="str">
        <f t="shared" si="31"/>
        <v>755.</v>
      </c>
      <c r="C1011" s="205" t="s">
        <v>938</v>
      </c>
      <c r="D1011" s="162"/>
      <c r="E1011" s="163"/>
      <c r="F1011" s="159"/>
      <c r="G1011" s="164"/>
      <c r="H1011" s="204" t="s">
        <v>940</v>
      </c>
      <c r="I1011" s="211">
        <v>2024</v>
      </c>
      <c r="J1011" s="208">
        <v>3662</v>
      </c>
      <c r="K1011" s="159"/>
      <c r="L1011" s="204" t="s">
        <v>942</v>
      </c>
      <c r="N1011" s="141">
        <f t="shared" si="32"/>
        <v>755</v>
      </c>
    </row>
    <row r="1012" spans="1:14" ht="15">
      <c r="A1012" s="159"/>
      <c r="B1012" s="143" t="str">
        <f t="shared" si="31"/>
        <v>756.</v>
      </c>
      <c r="C1012" s="205" t="s">
        <v>938</v>
      </c>
      <c r="D1012" s="162"/>
      <c r="E1012" s="163"/>
      <c r="F1012" s="159"/>
      <c r="G1012" s="164"/>
      <c r="H1012" s="204" t="s">
        <v>940</v>
      </c>
      <c r="I1012" s="211">
        <v>2024</v>
      </c>
      <c r="J1012" s="208">
        <v>3662</v>
      </c>
      <c r="K1012" s="159"/>
      <c r="L1012" s="204" t="s">
        <v>942</v>
      </c>
      <c r="N1012" s="141">
        <f t="shared" si="32"/>
        <v>756</v>
      </c>
    </row>
    <row r="1013" spans="1:14" ht="15">
      <c r="A1013" s="159"/>
      <c r="B1013" s="143" t="str">
        <f t="shared" si="31"/>
        <v>757.</v>
      </c>
      <c r="C1013" s="205" t="s">
        <v>938</v>
      </c>
      <c r="D1013" s="162"/>
      <c r="E1013" s="163"/>
      <c r="F1013" s="159"/>
      <c r="G1013" s="164"/>
      <c r="H1013" s="204" t="s">
        <v>940</v>
      </c>
      <c r="I1013" s="211">
        <v>2024</v>
      </c>
      <c r="J1013" s="208">
        <v>5247</v>
      </c>
      <c r="K1013" s="159"/>
      <c r="L1013" s="204" t="s">
        <v>942</v>
      </c>
      <c r="N1013" s="141">
        <f t="shared" si="32"/>
        <v>757</v>
      </c>
    </row>
    <row r="1014" spans="1:14" ht="15">
      <c r="A1014" s="159"/>
      <c r="B1014" s="143" t="str">
        <f t="shared" si="31"/>
        <v>758.</v>
      </c>
      <c r="C1014" s="205" t="s">
        <v>938</v>
      </c>
      <c r="D1014" s="162"/>
      <c r="E1014" s="163"/>
      <c r="F1014" s="159"/>
      <c r="G1014" s="164"/>
      <c r="H1014" s="204" t="s">
        <v>940</v>
      </c>
      <c r="I1014" s="211">
        <v>2024</v>
      </c>
      <c r="J1014" s="208">
        <v>3662</v>
      </c>
      <c r="K1014" s="159"/>
      <c r="L1014" s="204" t="s">
        <v>942</v>
      </c>
      <c r="N1014" s="141">
        <f t="shared" si="32"/>
        <v>758</v>
      </c>
    </row>
    <row r="1015" spans="1:14" ht="15">
      <c r="A1015" s="159"/>
      <c r="B1015" s="143" t="str">
        <f t="shared" si="31"/>
        <v>759.</v>
      </c>
      <c r="C1015" s="205" t="s">
        <v>938</v>
      </c>
      <c r="D1015" s="162"/>
      <c r="E1015" s="163"/>
      <c r="F1015" s="159"/>
      <c r="G1015" s="164"/>
      <c r="H1015" s="204" t="s">
        <v>940</v>
      </c>
      <c r="I1015" s="211">
        <v>2024</v>
      </c>
      <c r="J1015" s="208">
        <v>3662</v>
      </c>
      <c r="K1015" s="159"/>
      <c r="L1015" s="204" t="s">
        <v>942</v>
      </c>
      <c r="N1015" s="141">
        <f t="shared" si="32"/>
        <v>759</v>
      </c>
    </row>
    <row r="1016" spans="1:14" ht="15">
      <c r="A1016" s="159"/>
      <c r="B1016" s="143" t="str">
        <f t="shared" si="31"/>
        <v>760.</v>
      </c>
      <c r="C1016" s="205" t="s">
        <v>938</v>
      </c>
      <c r="D1016" s="162"/>
      <c r="E1016" s="163"/>
      <c r="F1016" s="159"/>
      <c r="G1016" s="164"/>
      <c r="H1016" s="204" t="s">
        <v>940</v>
      </c>
      <c r="I1016" s="211">
        <v>2024</v>
      </c>
      <c r="J1016" s="208">
        <v>4200</v>
      </c>
      <c r="K1016" s="159"/>
      <c r="L1016" s="204" t="s">
        <v>942</v>
      </c>
      <c r="N1016" s="141">
        <f t="shared" si="32"/>
        <v>760</v>
      </c>
    </row>
    <row r="1017" spans="1:14" ht="15">
      <c r="A1017" s="159"/>
      <c r="B1017" s="143" t="str">
        <f t="shared" si="31"/>
        <v>761.</v>
      </c>
      <c r="C1017" s="205" t="s">
        <v>938</v>
      </c>
      <c r="D1017" s="162"/>
      <c r="E1017" s="163"/>
      <c r="F1017" s="159"/>
      <c r="G1017" s="164"/>
      <c r="H1017" s="204" t="s">
        <v>940</v>
      </c>
      <c r="I1017" s="211">
        <v>2024</v>
      </c>
      <c r="J1017" s="208">
        <v>3662</v>
      </c>
      <c r="K1017" s="159"/>
      <c r="L1017" s="204" t="s">
        <v>942</v>
      </c>
      <c r="N1017" s="141">
        <f t="shared" si="32"/>
        <v>761</v>
      </c>
    </row>
    <row r="1018" spans="1:14" ht="15">
      <c r="A1018" s="159"/>
      <c r="B1018" s="143" t="str">
        <f t="shared" si="31"/>
        <v>762.</v>
      </c>
      <c r="C1018" s="205" t="s">
        <v>938</v>
      </c>
      <c r="D1018" s="162"/>
      <c r="E1018" s="163"/>
      <c r="F1018" s="159"/>
      <c r="G1018" s="164"/>
      <c r="H1018" s="204" t="s">
        <v>940</v>
      </c>
      <c r="I1018" s="211">
        <v>2024</v>
      </c>
      <c r="J1018" s="208">
        <v>3662</v>
      </c>
      <c r="K1018" s="159"/>
      <c r="L1018" s="204" t="s">
        <v>942</v>
      </c>
      <c r="N1018" s="141">
        <f t="shared" si="32"/>
        <v>762</v>
      </c>
    </row>
    <row r="1019" spans="1:14" ht="15">
      <c r="A1019" s="159"/>
      <c r="B1019" s="143" t="str">
        <f t="shared" si="31"/>
        <v>763.</v>
      </c>
      <c r="C1019" s="205" t="s">
        <v>938</v>
      </c>
      <c r="D1019" s="162"/>
      <c r="E1019" s="163"/>
      <c r="F1019" s="159"/>
      <c r="G1019" s="164"/>
      <c r="H1019" s="204" t="s">
        <v>940</v>
      </c>
      <c r="I1019" s="211">
        <v>2024</v>
      </c>
      <c r="J1019" s="208">
        <v>4200</v>
      </c>
      <c r="K1019" s="159"/>
      <c r="L1019" s="204" t="s">
        <v>942</v>
      </c>
      <c r="N1019" s="141">
        <f t="shared" si="32"/>
        <v>763</v>
      </c>
    </row>
    <row r="1020" spans="1:14" ht="15">
      <c r="A1020" s="159"/>
      <c r="B1020" s="143" t="str">
        <f t="shared" si="31"/>
        <v>764.</v>
      </c>
      <c r="C1020" s="205" t="s">
        <v>938</v>
      </c>
      <c r="D1020" s="162"/>
      <c r="E1020" s="163"/>
      <c r="F1020" s="159"/>
      <c r="G1020" s="164"/>
      <c r="H1020" s="204" t="s">
        <v>940</v>
      </c>
      <c r="I1020" s="211">
        <v>2024</v>
      </c>
      <c r="J1020" s="208">
        <v>3662</v>
      </c>
      <c r="K1020" s="159"/>
      <c r="L1020" s="204" t="s">
        <v>942</v>
      </c>
      <c r="N1020" s="141">
        <f t="shared" si="32"/>
        <v>764</v>
      </c>
    </row>
    <row r="1021" spans="1:14" ht="15">
      <c r="A1021" s="159"/>
      <c r="B1021" s="143" t="str">
        <f t="shared" si="31"/>
        <v>765.</v>
      </c>
      <c r="C1021" s="205" t="s">
        <v>938</v>
      </c>
      <c r="D1021" s="162"/>
      <c r="E1021" s="163"/>
      <c r="F1021" s="159"/>
      <c r="G1021" s="164"/>
      <c r="H1021" s="204" t="s">
        <v>940</v>
      </c>
      <c r="I1021" s="211">
        <v>2024</v>
      </c>
      <c r="J1021" s="208">
        <v>3662</v>
      </c>
      <c r="K1021" s="159"/>
      <c r="L1021" s="204" t="s">
        <v>942</v>
      </c>
      <c r="N1021" s="141">
        <f t="shared" si="32"/>
        <v>765</v>
      </c>
    </row>
    <row r="1022" spans="1:14" ht="15">
      <c r="A1022" s="159"/>
      <c r="B1022" s="143" t="str">
        <f t="shared" si="31"/>
        <v>766.</v>
      </c>
      <c r="C1022" s="205" t="s">
        <v>938</v>
      </c>
      <c r="D1022" s="162"/>
      <c r="E1022" s="163"/>
      <c r="F1022" s="159"/>
      <c r="G1022" s="164"/>
      <c r="H1022" s="204" t="s">
        <v>940</v>
      </c>
      <c r="I1022" s="211">
        <v>2024</v>
      </c>
      <c r="J1022" s="208">
        <v>3662</v>
      </c>
      <c r="K1022" s="159"/>
      <c r="L1022" s="204" t="s">
        <v>942</v>
      </c>
      <c r="N1022" s="141">
        <f t="shared" si="32"/>
        <v>766</v>
      </c>
    </row>
    <row r="1023" spans="1:14" ht="15">
      <c r="A1023" s="159"/>
      <c r="B1023" s="143" t="str">
        <f t="shared" si="31"/>
        <v>767.</v>
      </c>
      <c r="C1023" s="205" t="s">
        <v>938</v>
      </c>
      <c r="D1023" s="162"/>
      <c r="E1023" s="163"/>
      <c r="F1023" s="159"/>
      <c r="G1023" s="164"/>
      <c r="H1023" s="204" t="s">
        <v>940</v>
      </c>
      <c r="I1023" s="211">
        <v>2024</v>
      </c>
      <c r="J1023" s="208">
        <v>4200</v>
      </c>
      <c r="K1023" s="159"/>
      <c r="L1023" s="204" t="s">
        <v>942</v>
      </c>
      <c r="N1023" s="141">
        <f t="shared" si="32"/>
        <v>767</v>
      </c>
    </row>
    <row r="1024" spans="1:14" ht="15">
      <c r="A1024" s="159"/>
      <c r="B1024" s="143" t="str">
        <f t="shared" si="31"/>
        <v>768.</v>
      </c>
      <c r="C1024" s="205" t="s">
        <v>938</v>
      </c>
      <c r="D1024" s="162"/>
      <c r="E1024" s="163"/>
      <c r="F1024" s="159"/>
      <c r="G1024" s="164"/>
      <c r="H1024" s="204" t="s">
        <v>940</v>
      </c>
      <c r="I1024" s="211">
        <v>2024</v>
      </c>
      <c r="J1024" s="208">
        <v>3662</v>
      </c>
      <c r="K1024" s="159"/>
      <c r="L1024" s="204" t="s">
        <v>942</v>
      </c>
      <c r="N1024" s="141">
        <f t="shared" si="32"/>
        <v>768</v>
      </c>
    </row>
    <row r="1025" spans="1:14" ht="15">
      <c r="A1025" s="159"/>
      <c r="B1025" s="143" t="str">
        <f t="shared" ref="B1025:B1088" si="33">N1025&amp;"."</f>
        <v>769.</v>
      </c>
      <c r="C1025" s="205" t="s">
        <v>938</v>
      </c>
      <c r="D1025" s="162"/>
      <c r="E1025" s="163"/>
      <c r="F1025" s="159"/>
      <c r="G1025" s="164"/>
      <c r="H1025" s="204" t="s">
        <v>940</v>
      </c>
      <c r="I1025" s="211">
        <v>2024</v>
      </c>
      <c r="J1025" s="208">
        <v>3662</v>
      </c>
      <c r="K1025" s="159"/>
      <c r="L1025" s="204" t="s">
        <v>942</v>
      </c>
      <c r="N1025" s="141">
        <f t="shared" si="32"/>
        <v>769</v>
      </c>
    </row>
    <row r="1026" spans="1:14" ht="15">
      <c r="A1026" s="159"/>
      <c r="B1026" s="143" t="str">
        <f t="shared" si="33"/>
        <v>770.</v>
      </c>
      <c r="C1026" s="205" t="s">
        <v>938</v>
      </c>
      <c r="D1026" s="162"/>
      <c r="E1026" s="163"/>
      <c r="F1026" s="159"/>
      <c r="G1026" s="164"/>
      <c r="H1026" s="204" t="s">
        <v>940</v>
      </c>
      <c r="I1026" s="211">
        <v>2024</v>
      </c>
      <c r="J1026" s="208">
        <v>3662</v>
      </c>
      <c r="K1026" s="159"/>
      <c r="L1026" s="204" t="s">
        <v>942</v>
      </c>
      <c r="N1026" s="141">
        <f t="shared" si="32"/>
        <v>770</v>
      </c>
    </row>
    <row r="1027" spans="1:14" ht="15">
      <c r="A1027" s="159"/>
      <c r="B1027" s="143" t="str">
        <f t="shared" si="33"/>
        <v>771.</v>
      </c>
      <c r="C1027" s="205" t="s">
        <v>938</v>
      </c>
      <c r="D1027" s="162"/>
      <c r="E1027" s="163"/>
      <c r="F1027" s="159"/>
      <c r="G1027" s="164"/>
      <c r="H1027" s="204" t="s">
        <v>940</v>
      </c>
      <c r="I1027" s="211">
        <v>2024</v>
      </c>
      <c r="J1027" s="208">
        <v>3662</v>
      </c>
      <c r="K1027" s="159"/>
      <c r="L1027" s="204" t="s">
        <v>942</v>
      </c>
      <c r="N1027" s="141">
        <f t="shared" ref="N1027:N1090" si="34">N1026+1</f>
        <v>771</v>
      </c>
    </row>
    <row r="1028" spans="1:14" ht="15">
      <c r="A1028" s="159"/>
      <c r="B1028" s="143" t="str">
        <f t="shared" si="33"/>
        <v>772.</v>
      </c>
      <c r="C1028" s="205" t="s">
        <v>938</v>
      </c>
      <c r="D1028" s="162"/>
      <c r="E1028" s="163"/>
      <c r="F1028" s="159"/>
      <c r="G1028" s="164"/>
      <c r="H1028" s="204" t="s">
        <v>940</v>
      </c>
      <c r="I1028" s="211">
        <v>2024</v>
      </c>
      <c r="J1028" s="208">
        <v>3662</v>
      </c>
      <c r="K1028" s="159"/>
      <c r="L1028" s="204" t="s">
        <v>942</v>
      </c>
      <c r="N1028" s="141">
        <f t="shared" si="34"/>
        <v>772</v>
      </c>
    </row>
    <row r="1029" spans="1:14" ht="15">
      <c r="A1029" s="159"/>
      <c r="B1029" s="143" t="str">
        <f t="shared" si="33"/>
        <v>773.</v>
      </c>
      <c r="C1029" s="205" t="s">
        <v>938</v>
      </c>
      <c r="D1029" s="162"/>
      <c r="E1029" s="163"/>
      <c r="F1029" s="159"/>
      <c r="G1029" s="164"/>
      <c r="H1029" s="204" t="s">
        <v>940</v>
      </c>
      <c r="I1029" s="211">
        <v>2024</v>
      </c>
      <c r="J1029" s="208">
        <v>4200</v>
      </c>
      <c r="K1029" s="159"/>
      <c r="L1029" s="204" t="s">
        <v>942</v>
      </c>
      <c r="N1029" s="141">
        <f t="shared" si="34"/>
        <v>773</v>
      </c>
    </row>
    <row r="1030" spans="1:14" ht="15">
      <c r="A1030" s="159"/>
      <c r="B1030" s="143" t="str">
        <f t="shared" si="33"/>
        <v>774.</v>
      </c>
      <c r="C1030" s="205" t="s">
        <v>938</v>
      </c>
      <c r="D1030" s="162"/>
      <c r="E1030" s="163"/>
      <c r="F1030" s="159"/>
      <c r="G1030" s="164"/>
      <c r="H1030" s="204" t="s">
        <v>940</v>
      </c>
      <c r="I1030" s="211">
        <v>2024</v>
      </c>
      <c r="J1030" s="208">
        <v>3662</v>
      </c>
      <c r="K1030" s="159"/>
      <c r="L1030" s="204" t="s">
        <v>942</v>
      </c>
      <c r="N1030" s="141">
        <f t="shared" si="34"/>
        <v>774</v>
      </c>
    </row>
    <row r="1031" spans="1:14" ht="15">
      <c r="A1031" s="159"/>
      <c r="B1031" s="143" t="str">
        <f t="shared" si="33"/>
        <v>775.</v>
      </c>
      <c r="C1031" s="205" t="s">
        <v>938</v>
      </c>
      <c r="D1031" s="162"/>
      <c r="E1031" s="163"/>
      <c r="F1031" s="159"/>
      <c r="G1031" s="164"/>
      <c r="H1031" s="204" t="s">
        <v>940</v>
      </c>
      <c r="I1031" s="211">
        <v>2024</v>
      </c>
      <c r="J1031" s="208">
        <v>3662</v>
      </c>
      <c r="K1031" s="159"/>
      <c r="L1031" s="204" t="s">
        <v>942</v>
      </c>
      <c r="N1031" s="141">
        <f t="shared" si="34"/>
        <v>775</v>
      </c>
    </row>
    <row r="1032" spans="1:14" ht="15">
      <c r="A1032" s="159"/>
      <c r="B1032" s="143" t="str">
        <f t="shared" si="33"/>
        <v>776.</v>
      </c>
      <c r="C1032" s="205" t="s">
        <v>938</v>
      </c>
      <c r="D1032" s="162"/>
      <c r="E1032" s="163"/>
      <c r="F1032" s="159"/>
      <c r="G1032" s="164"/>
      <c r="H1032" s="204" t="s">
        <v>940</v>
      </c>
      <c r="I1032" s="211">
        <v>2024</v>
      </c>
      <c r="J1032" s="208">
        <v>4200</v>
      </c>
      <c r="K1032" s="159"/>
      <c r="L1032" s="204" t="s">
        <v>942</v>
      </c>
      <c r="N1032" s="141">
        <f t="shared" si="34"/>
        <v>776</v>
      </c>
    </row>
    <row r="1033" spans="1:14" ht="15">
      <c r="A1033" s="159"/>
      <c r="B1033" s="143" t="str">
        <f t="shared" si="33"/>
        <v>777.</v>
      </c>
      <c r="C1033" s="205" t="s">
        <v>938</v>
      </c>
      <c r="D1033" s="162"/>
      <c r="E1033" s="163"/>
      <c r="F1033" s="159"/>
      <c r="G1033" s="164"/>
      <c r="H1033" s="204" t="s">
        <v>940</v>
      </c>
      <c r="I1033" s="211">
        <v>2024</v>
      </c>
      <c r="J1033" s="208">
        <v>3662</v>
      </c>
      <c r="K1033" s="159"/>
      <c r="L1033" s="204" t="s">
        <v>942</v>
      </c>
      <c r="N1033" s="141">
        <f t="shared" si="34"/>
        <v>777</v>
      </c>
    </row>
    <row r="1034" spans="1:14" ht="15">
      <c r="A1034" s="159"/>
      <c r="B1034" s="143" t="str">
        <f t="shared" si="33"/>
        <v>778.</v>
      </c>
      <c r="C1034" s="205" t="s">
        <v>938</v>
      </c>
      <c r="D1034" s="162"/>
      <c r="E1034" s="163"/>
      <c r="F1034" s="159"/>
      <c r="G1034" s="164"/>
      <c r="H1034" s="204" t="s">
        <v>940</v>
      </c>
      <c r="I1034" s="211">
        <v>2024</v>
      </c>
      <c r="J1034" s="208">
        <v>3662</v>
      </c>
      <c r="K1034" s="159"/>
      <c r="L1034" s="204" t="s">
        <v>942</v>
      </c>
      <c r="N1034" s="141">
        <f t="shared" si="34"/>
        <v>778</v>
      </c>
    </row>
    <row r="1035" spans="1:14" ht="15">
      <c r="A1035" s="159"/>
      <c r="B1035" s="143" t="str">
        <f t="shared" si="33"/>
        <v>779.</v>
      </c>
      <c r="C1035" s="205" t="s">
        <v>938</v>
      </c>
      <c r="D1035" s="162"/>
      <c r="E1035" s="163"/>
      <c r="F1035" s="159"/>
      <c r="G1035" s="164"/>
      <c r="H1035" s="204" t="s">
        <v>940</v>
      </c>
      <c r="I1035" s="211">
        <v>2024</v>
      </c>
      <c r="J1035" s="208">
        <v>3662</v>
      </c>
      <c r="K1035" s="159"/>
      <c r="L1035" s="204" t="s">
        <v>942</v>
      </c>
      <c r="N1035" s="141">
        <f t="shared" si="34"/>
        <v>779</v>
      </c>
    </row>
    <row r="1036" spans="1:14" ht="15">
      <c r="A1036" s="159"/>
      <c r="B1036" s="143" t="str">
        <f t="shared" si="33"/>
        <v>780.</v>
      </c>
      <c r="C1036" s="205" t="s">
        <v>938</v>
      </c>
      <c r="D1036" s="162"/>
      <c r="E1036" s="163"/>
      <c r="F1036" s="159"/>
      <c r="G1036" s="164"/>
      <c r="H1036" s="204" t="s">
        <v>940</v>
      </c>
      <c r="I1036" s="211">
        <v>2024</v>
      </c>
      <c r="J1036" s="208">
        <v>3662</v>
      </c>
      <c r="K1036" s="159"/>
      <c r="L1036" s="204" t="s">
        <v>942</v>
      </c>
      <c r="N1036" s="141">
        <f t="shared" si="34"/>
        <v>780</v>
      </c>
    </row>
    <row r="1037" spans="1:14" ht="15">
      <c r="A1037" s="159"/>
      <c r="B1037" s="143" t="str">
        <f t="shared" si="33"/>
        <v>781.</v>
      </c>
      <c r="C1037" s="205" t="s">
        <v>938</v>
      </c>
      <c r="D1037" s="162"/>
      <c r="E1037" s="163"/>
      <c r="F1037" s="159"/>
      <c r="G1037" s="164"/>
      <c r="H1037" s="204" t="s">
        <v>940</v>
      </c>
      <c r="I1037" s="211">
        <v>2024</v>
      </c>
      <c r="J1037" s="208">
        <v>3662</v>
      </c>
      <c r="K1037" s="159"/>
      <c r="L1037" s="204" t="s">
        <v>942</v>
      </c>
      <c r="N1037" s="141">
        <f t="shared" si="34"/>
        <v>781</v>
      </c>
    </row>
    <row r="1038" spans="1:14" ht="15">
      <c r="A1038" s="159"/>
      <c r="B1038" s="143" t="str">
        <f t="shared" si="33"/>
        <v>782.</v>
      </c>
      <c r="C1038" s="205" t="s">
        <v>938</v>
      </c>
      <c r="D1038" s="162"/>
      <c r="E1038" s="163"/>
      <c r="F1038" s="159"/>
      <c r="G1038" s="164"/>
      <c r="H1038" s="204" t="s">
        <v>940</v>
      </c>
      <c r="I1038" s="211">
        <v>2024</v>
      </c>
      <c r="J1038" s="208">
        <v>3662</v>
      </c>
      <c r="K1038" s="159"/>
      <c r="L1038" s="204" t="s">
        <v>942</v>
      </c>
      <c r="N1038" s="141">
        <f t="shared" si="34"/>
        <v>782</v>
      </c>
    </row>
    <row r="1039" spans="1:14" ht="15">
      <c r="A1039" s="159"/>
      <c r="B1039" s="143" t="str">
        <f t="shared" si="33"/>
        <v>783.</v>
      </c>
      <c r="C1039" s="205" t="s">
        <v>938</v>
      </c>
      <c r="D1039" s="162"/>
      <c r="E1039" s="163"/>
      <c r="F1039" s="159"/>
      <c r="G1039" s="164"/>
      <c r="H1039" s="204" t="s">
        <v>940</v>
      </c>
      <c r="I1039" s="211">
        <v>2024</v>
      </c>
      <c r="J1039" s="208">
        <v>4200</v>
      </c>
      <c r="K1039" s="159"/>
      <c r="L1039" s="204" t="s">
        <v>942</v>
      </c>
      <c r="N1039" s="141">
        <f t="shared" si="34"/>
        <v>783</v>
      </c>
    </row>
    <row r="1040" spans="1:14" ht="15">
      <c r="A1040" s="159"/>
      <c r="B1040" s="143" t="str">
        <f t="shared" si="33"/>
        <v>784.</v>
      </c>
      <c r="C1040" s="205" t="s">
        <v>938</v>
      </c>
      <c r="D1040" s="162"/>
      <c r="E1040" s="163"/>
      <c r="F1040" s="159"/>
      <c r="G1040" s="164"/>
      <c r="H1040" s="204" t="s">
        <v>940</v>
      </c>
      <c r="I1040" s="211">
        <v>2024</v>
      </c>
      <c r="J1040" s="208">
        <v>3662</v>
      </c>
      <c r="K1040" s="159"/>
      <c r="L1040" s="204" t="s">
        <v>942</v>
      </c>
      <c r="N1040" s="141">
        <f t="shared" si="34"/>
        <v>784</v>
      </c>
    </row>
    <row r="1041" spans="1:14" ht="15">
      <c r="A1041" s="159"/>
      <c r="B1041" s="143" t="str">
        <f t="shared" si="33"/>
        <v>785.</v>
      </c>
      <c r="C1041" s="205" t="s">
        <v>938</v>
      </c>
      <c r="D1041" s="162"/>
      <c r="E1041" s="163"/>
      <c r="F1041" s="159"/>
      <c r="G1041" s="164"/>
      <c r="H1041" s="204" t="s">
        <v>940</v>
      </c>
      <c r="I1041" s="211">
        <v>2024</v>
      </c>
      <c r="J1041" s="208">
        <v>3662</v>
      </c>
      <c r="K1041" s="159"/>
      <c r="L1041" s="204" t="s">
        <v>942</v>
      </c>
      <c r="N1041" s="141">
        <f t="shared" si="34"/>
        <v>785</v>
      </c>
    </row>
    <row r="1042" spans="1:14" ht="15">
      <c r="A1042" s="159"/>
      <c r="B1042" s="143" t="str">
        <f t="shared" si="33"/>
        <v>786.</v>
      </c>
      <c r="C1042" s="205" t="s">
        <v>938</v>
      </c>
      <c r="D1042" s="162"/>
      <c r="E1042" s="163"/>
      <c r="F1042" s="159"/>
      <c r="G1042" s="164"/>
      <c r="H1042" s="204" t="s">
        <v>940</v>
      </c>
      <c r="I1042" s="211">
        <v>2024</v>
      </c>
      <c r="J1042" s="208">
        <v>4200</v>
      </c>
      <c r="K1042" s="159"/>
      <c r="L1042" s="204" t="s">
        <v>942</v>
      </c>
      <c r="N1042" s="141">
        <f t="shared" si="34"/>
        <v>786</v>
      </c>
    </row>
    <row r="1043" spans="1:14" ht="15">
      <c r="A1043" s="159"/>
      <c r="B1043" s="143" t="str">
        <f t="shared" si="33"/>
        <v>787.</v>
      </c>
      <c r="C1043" s="205" t="s">
        <v>938</v>
      </c>
      <c r="D1043" s="162"/>
      <c r="E1043" s="163"/>
      <c r="F1043" s="159"/>
      <c r="G1043" s="164"/>
      <c r="H1043" s="204" t="s">
        <v>940</v>
      </c>
      <c r="I1043" s="211">
        <v>2024</v>
      </c>
      <c r="J1043" s="208">
        <v>3662</v>
      </c>
      <c r="K1043" s="159"/>
      <c r="L1043" s="204" t="s">
        <v>942</v>
      </c>
      <c r="N1043" s="141">
        <f t="shared" si="34"/>
        <v>787</v>
      </c>
    </row>
    <row r="1044" spans="1:14" ht="15">
      <c r="A1044" s="159"/>
      <c r="B1044" s="143" t="str">
        <f t="shared" si="33"/>
        <v>788.</v>
      </c>
      <c r="C1044" s="205" t="s">
        <v>938</v>
      </c>
      <c r="D1044" s="162"/>
      <c r="E1044" s="163"/>
      <c r="F1044" s="159"/>
      <c r="G1044" s="164"/>
      <c r="H1044" s="204" t="s">
        <v>940</v>
      </c>
      <c r="I1044" s="211">
        <v>2024</v>
      </c>
      <c r="J1044" s="208">
        <v>3662</v>
      </c>
      <c r="K1044" s="159"/>
      <c r="L1044" s="204" t="s">
        <v>942</v>
      </c>
      <c r="N1044" s="141">
        <f t="shared" si="34"/>
        <v>788</v>
      </c>
    </row>
    <row r="1045" spans="1:14" ht="15">
      <c r="A1045" s="159"/>
      <c r="B1045" s="143" t="str">
        <f t="shared" si="33"/>
        <v>789.</v>
      </c>
      <c r="C1045" s="205" t="s">
        <v>938</v>
      </c>
      <c r="D1045" s="162"/>
      <c r="E1045" s="163"/>
      <c r="F1045" s="159"/>
      <c r="G1045" s="164"/>
      <c r="H1045" s="204" t="s">
        <v>940</v>
      </c>
      <c r="I1045" s="211">
        <v>2024</v>
      </c>
      <c r="J1045" s="208">
        <v>4737</v>
      </c>
      <c r="K1045" s="159"/>
      <c r="L1045" s="204" t="s">
        <v>942</v>
      </c>
      <c r="N1045" s="141">
        <f t="shared" si="34"/>
        <v>789</v>
      </c>
    </row>
    <row r="1046" spans="1:14" ht="15">
      <c r="A1046" s="159"/>
      <c r="B1046" s="143" t="str">
        <f t="shared" si="33"/>
        <v>790.</v>
      </c>
      <c r="C1046" s="205" t="s">
        <v>938</v>
      </c>
      <c r="D1046" s="162"/>
      <c r="E1046" s="163"/>
      <c r="F1046" s="159"/>
      <c r="G1046" s="164"/>
      <c r="H1046" s="204" t="s">
        <v>940</v>
      </c>
      <c r="I1046" s="211">
        <v>2024</v>
      </c>
      <c r="J1046" s="208">
        <v>3662</v>
      </c>
      <c r="K1046" s="159"/>
      <c r="L1046" s="204" t="s">
        <v>942</v>
      </c>
      <c r="N1046" s="141">
        <f t="shared" si="34"/>
        <v>790</v>
      </c>
    </row>
    <row r="1047" spans="1:14" ht="15">
      <c r="A1047" s="159"/>
      <c r="B1047" s="143" t="str">
        <f t="shared" si="33"/>
        <v>791.</v>
      </c>
      <c r="C1047" s="205" t="s">
        <v>938</v>
      </c>
      <c r="D1047" s="162"/>
      <c r="E1047" s="163"/>
      <c r="F1047" s="159"/>
      <c r="G1047" s="164"/>
      <c r="H1047" s="204" t="s">
        <v>940</v>
      </c>
      <c r="I1047" s="211">
        <v>2024</v>
      </c>
      <c r="J1047" s="208">
        <v>3662</v>
      </c>
      <c r="K1047" s="159"/>
      <c r="L1047" s="204" t="s">
        <v>942</v>
      </c>
      <c r="N1047" s="141">
        <f t="shared" si="34"/>
        <v>791</v>
      </c>
    </row>
    <row r="1048" spans="1:14" ht="15">
      <c r="A1048" s="159"/>
      <c r="B1048" s="143" t="str">
        <f t="shared" si="33"/>
        <v>792.</v>
      </c>
      <c r="C1048" s="205" t="s">
        <v>938</v>
      </c>
      <c r="D1048" s="162"/>
      <c r="E1048" s="163"/>
      <c r="F1048" s="159"/>
      <c r="G1048" s="164"/>
      <c r="H1048" s="204" t="s">
        <v>940</v>
      </c>
      <c r="I1048" s="211">
        <v>2024</v>
      </c>
      <c r="J1048" s="208">
        <v>3662</v>
      </c>
      <c r="K1048" s="159"/>
      <c r="L1048" s="204" t="s">
        <v>942</v>
      </c>
      <c r="N1048" s="141">
        <f t="shared" si="34"/>
        <v>792</v>
      </c>
    </row>
    <row r="1049" spans="1:14" ht="15">
      <c r="A1049" s="159"/>
      <c r="B1049" s="143" t="str">
        <f t="shared" si="33"/>
        <v>793.</v>
      </c>
      <c r="C1049" s="205" t="s">
        <v>938</v>
      </c>
      <c r="D1049" s="162"/>
      <c r="E1049" s="163"/>
      <c r="F1049" s="159"/>
      <c r="G1049" s="164"/>
      <c r="H1049" s="204" t="s">
        <v>940</v>
      </c>
      <c r="I1049" s="211">
        <v>2024</v>
      </c>
      <c r="J1049" s="208">
        <v>3662</v>
      </c>
      <c r="K1049" s="159"/>
      <c r="L1049" s="204" t="s">
        <v>942</v>
      </c>
      <c r="N1049" s="141">
        <f t="shared" si="34"/>
        <v>793</v>
      </c>
    </row>
    <row r="1050" spans="1:14" ht="15">
      <c r="A1050" s="159"/>
      <c r="B1050" s="143" t="str">
        <f t="shared" si="33"/>
        <v>794.</v>
      </c>
      <c r="C1050" s="205" t="s">
        <v>938</v>
      </c>
      <c r="D1050" s="162"/>
      <c r="E1050" s="163"/>
      <c r="F1050" s="159"/>
      <c r="G1050" s="164"/>
      <c r="H1050" s="204" t="s">
        <v>940</v>
      </c>
      <c r="I1050" s="211">
        <v>2024</v>
      </c>
      <c r="J1050" s="208">
        <v>5247</v>
      </c>
      <c r="K1050" s="159"/>
      <c r="L1050" s="204" t="s">
        <v>942</v>
      </c>
      <c r="N1050" s="141">
        <f t="shared" si="34"/>
        <v>794</v>
      </c>
    </row>
    <row r="1051" spans="1:14" ht="15">
      <c r="A1051" s="159"/>
      <c r="B1051" s="143" t="str">
        <f t="shared" si="33"/>
        <v>795.</v>
      </c>
      <c r="C1051" s="205" t="s">
        <v>938</v>
      </c>
      <c r="D1051" s="162"/>
      <c r="E1051" s="163"/>
      <c r="F1051" s="159"/>
      <c r="G1051" s="164"/>
      <c r="H1051" s="204" t="s">
        <v>940</v>
      </c>
      <c r="I1051" s="211">
        <v>2024</v>
      </c>
      <c r="J1051" s="208">
        <v>5247</v>
      </c>
      <c r="K1051" s="159"/>
      <c r="L1051" s="204" t="s">
        <v>942</v>
      </c>
      <c r="N1051" s="141">
        <f t="shared" si="34"/>
        <v>795</v>
      </c>
    </row>
    <row r="1052" spans="1:14" ht="15">
      <c r="A1052" s="159"/>
      <c r="B1052" s="143" t="str">
        <f t="shared" si="33"/>
        <v>796.</v>
      </c>
      <c r="C1052" s="205" t="s">
        <v>938</v>
      </c>
      <c r="D1052" s="162"/>
      <c r="E1052" s="163"/>
      <c r="F1052" s="159"/>
      <c r="G1052" s="164"/>
      <c r="H1052" s="204" t="s">
        <v>940</v>
      </c>
      <c r="I1052" s="211">
        <v>2024</v>
      </c>
      <c r="J1052" s="208">
        <v>3662</v>
      </c>
      <c r="K1052" s="159"/>
      <c r="L1052" s="204" t="s">
        <v>942</v>
      </c>
      <c r="N1052" s="141">
        <f t="shared" si="34"/>
        <v>796</v>
      </c>
    </row>
    <row r="1053" spans="1:14" ht="15">
      <c r="A1053" s="159"/>
      <c r="B1053" s="143" t="str">
        <f t="shared" si="33"/>
        <v>797.</v>
      </c>
      <c r="C1053" s="205" t="s">
        <v>938</v>
      </c>
      <c r="D1053" s="162"/>
      <c r="E1053" s="163"/>
      <c r="F1053" s="159"/>
      <c r="G1053" s="164"/>
      <c r="H1053" s="204" t="s">
        <v>940</v>
      </c>
      <c r="I1053" s="211">
        <v>2024</v>
      </c>
      <c r="J1053" s="208">
        <v>4200</v>
      </c>
      <c r="K1053" s="159"/>
      <c r="L1053" s="204" t="s">
        <v>942</v>
      </c>
      <c r="N1053" s="141">
        <f t="shared" si="34"/>
        <v>797</v>
      </c>
    </row>
    <row r="1054" spans="1:14" ht="15">
      <c r="A1054" s="159"/>
      <c r="B1054" s="143" t="str">
        <f t="shared" si="33"/>
        <v>798.</v>
      </c>
      <c r="C1054" s="205" t="s">
        <v>938</v>
      </c>
      <c r="D1054" s="162"/>
      <c r="E1054" s="163"/>
      <c r="F1054" s="159"/>
      <c r="G1054" s="164"/>
      <c r="H1054" s="204" t="s">
        <v>940</v>
      </c>
      <c r="I1054" s="211">
        <v>2024</v>
      </c>
      <c r="J1054" s="208">
        <v>3662</v>
      </c>
      <c r="K1054" s="159"/>
      <c r="L1054" s="204" t="s">
        <v>942</v>
      </c>
      <c r="N1054" s="141">
        <f t="shared" si="34"/>
        <v>798</v>
      </c>
    </row>
    <row r="1055" spans="1:14" ht="15">
      <c r="A1055" s="159"/>
      <c r="B1055" s="143" t="str">
        <f t="shared" si="33"/>
        <v>799.</v>
      </c>
      <c r="C1055" s="205" t="s">
        <v>938</v>
      </c>
      <c r="D1055" s="162"/>
      <c r="E1055" s="163"/>
      <c r="F1055" s="159"/>
      <c r="G1055" s="164"/>
      <c r="H1055" s="204" t="s">
        <v>940</v>
      </c>
      <c r="I1055" s="211">
        <v>2024</v>
      </c>
      <c r="J1055" s="208">
        <v>3662</v>
      </c>
      <c r="K1055" s="159"/>
      <c r="L1055" s="204" t="s">
        <v>942</v>
      </c>
      <c r="N1055" s="141">
        <f t="shared" si="34"/>
        <v>799</v>
      </c>
    </row>
    <row r="1056" spans="1:14" ht="15">
      <c r="A1056" s="159"/>
      <c r="B1056" s="143" t="str">
        <f t="shared" si="33"/>
        <v>800.</v>
      </c>
      <c r="C1056" s="205" t="s">
        <v>938</v>
      </c>
      <c r="D1056" s="162"/>
      <c r="E1056" s="163"/>
      <c r="F1056" s="159"/>
      <c r="G1056" s="164"/>
      <c r="H1056" s="204" t="s">
        <v>940</v>
      </c>
      <c r="I1056" s="211">
        <v>2024</v>
      </c>
      <c r="J1056" s="208">
        <v>4200</v>
      </c>
      <c r="K1056" s="159"/>
      <c r="L1056" s="204" t="s">
        <v>942</v>
      </c>
      <c r="N1056" s="141">
        <f t="shared" si="34"/>
        <v>800</v>
      </c>
    </row>
    <row r="1057" spans="1:14" ht="15">
      <c r="A1057" s="159"/>
      <c r="B1057" s="143" t="str">
        <f t="shared" si="33"/>
        <v>801.</v>
      </c>
      <c r="C1057" s="205" t="s">
        <v>938</v>
      </c>
      <c r="D1057" s="162"/>
      <c r="E1057" s="163"/>
      <c r="F1057" s="159"/>
      <c r="G1057" s="164"/>
      <c r="H1057" s="204" t="s">
        <v>940</v>
      </c>
      <c r="I1057" s="211">
        <v>2024</v>
      </c>
      <c r="J1057" s="208">
        <v>3662</v>
      </c>
      <c r="K1057" s="159"/>
      <c r="L1057" s="204" t="s">
        <v>942</v>
      </c>
      <c r="N1057" s="141">
        <f t="shared" si="34"/>
        <v>801</v>
      </c>
    </row>
    <row r="1058" spans="1:14" ht="15">
      <c r="A1058" s="159"/>
      <c r="B1058" s="143" t="str">
        <f t="shared" si="33"/>
        <v>802.</v>
      </c>
      <c r="C1058" s="205" t="s">
        <v>938</v>
      </c>
      <c r="D1058" s="162"/>
      <c r="E1058" s="163"/>
      <c r="F1058" s="159"/>
      <c r="G1058" s="164"/>
      <c r="H1058" s="204" t="s">
        <v>940</v>
      </c>
      <c r="I1058" s="211">
        <v>2024</v>
      </c>
      <c r="J1058" s="208">
        <v>3662</v>
      </c>
      <c r="K1058" s="159"/>
      <c r="L1058" s="204" t="s">
        <v>942</v>
      </c>
      <c r="N1058" s="141">
        <f t="shared" si="34"/>
        <v>802</v>
      </c>
    </row>
    <row r="1059" spans="1:14" ht="15">
      <c r="A1059" s="159"/>
      <c r="B1059" s="143" t="str">
        <f t="shared" si="33"/>
        <v>803.</v>
      </c>
      <c r="C1059" s="205" t="s">
        <v>938</v>
      </c>
      <c r="D1059" s="162"/>
      <c r="E1059" s="163"/>
      <c r="F1059" s="159"/>
      <c r="G1059" s="164"/>
      <c r="H1059" s="204" t="s">
        <v>940</v>
      </c>
      <c r="I1059" s="211">
        <v>2024</v>
      </c>
      <c r="J1059" s="208">
        <v>3662</v>
      </c>
      <c r="K1059" s="159"/>
      <c r="L1059" s="204" t="s">
        <v>942</v>
      </c>
      <c r="N1059" s="141">
        <f t="shared" si="34"/>
        <v>803</v>
      </c>
    </row>
    <row r="1060" spans="1:14" ht="15">
      <c r="A1060" s="159"/>
      <c r="B1060" s="143" t="str">
        <f t="shared" si="33"/>
        <v>804.</v>
      </c>
      <c r="C1060" s="205" t="s">
        <v>938</v>
      </c>
      <c r="D1060" s="162"/>
      <c r="E1060" s="163"/>
      <c r="F1060" s="159"/>
      <c r="G1060" s="164"/>
      <c r="H1060" s="204" t="s">
        <v>940</v>
      </c>
      <c r="I1060" s="211">
        <v>2024</v>
      </c>
      <c r="J1060" s="208">
        <v>3662</v>
      </c>
      <c r="K1060" s="159"/>
      <c r="L1060" s="204" t="s">
        <v>942</v>
      </c>
      <c r="N1060" s="141">
        <f t="shared" si="34"/>
        <v>804</v>
      </c>
    </row>
    <row r="1061" spans="1:14" ht="15">
      <c r="A1061" s="159"/>
      <c r="B1061" s="143" t="str">
        <f t="shared" si="33"/>
        <v>805.</v>
      </c>
      <c r="C1061" s="205" t="s">
        <v>938</v>
      </c>
      <c r="D1061" s="162"/>
      <c r="E1061" s="163"/>
      <c r="F1061" s="159"/>
      <c r="G1061" s="164"/>
      <c r="H1061" s="204" t="s">
        <v>940</v>
      </c>
      <c r="I1061" s="211">
        <v>2024</v>
      </c>
      <c r="J1061" s="208">
        <v>3662</v>
      </c>
      <c r="K1061" s="159"/>
      <c r="L1061" s="204" t="s">
        <v>942</v>
      </c>
      <c r="N1061" s="141">
        <f t="shared" si="34"/>
        <v>805</v>
      </c>
    </row>
    <row r="1062" spans="1:14" ht="15">
      <c r="A1062" s="159"/>
      <c r="B1062" s="143" t="str">
        <f t="shared" si="33"/>
        <v>806.</v>
      </c>
      <c r="C1062" s="205" t="s">
        <v>938</v>
      </c>
      <c r="D1062" s="162"/>
      <c r="E1062" s="163"/>
      <c r="F1062" s="159"/>
      <c r="G1062" s="164"/>
      <c r="H1062" s="204" t="s">
        <v>940</v>
      </c>
      <c r="I1062" s="211">
        <v>2024</v>
      </c>
      <c r="J1062" s="208">
        <v>3662</v>
      </c>
      <c r="K1062" s="159"/>
      <c r="L1062" s="204" t="s">
        <v>942</v>
      </c>
      <c r="N1062" s="141">
        <f t="shared" si="34"/>
        <v>806</v>
      </c>
    </row>
    <row r="1063" spans="1:14" ht="15">
      <c r="A1063" s="159"/>
      <c r="B1063" s="143" t="str">
        <f t="shared" si="33"/>
        <v>807.</v>
      </c>
      <c r="C1063" s="205" t="s">
        <v>938</v>
      </c>
      <c r="D1063" s="162"/>
      <c r="E1063" s="163"/>
      <c r="F1063" s="159"/>
      <c r="G1063" s="164"/>
      <c r="H1063" s="204" t="s">
        <v>940</v>
      </c>
      <c r="I1063" s="211">
        <v>2024</v>
      </c>
      <c r="J1063" s="208">
        <v>3662</v>
      </c>
      <c r="K1063" s="159"/>
      <c r="L1063" s="204" t="s">
        <v>942</v>
      </c>
      <c r="N1063" s="141">
        <f t="shared" si="34"/>
        <v>807</v>
      </c>
    </row>
    <row r="1064" spans="1:14" ht="15">
      <c r="A1064" s="159"/>
      <c r="B1064" s="143" t="str">
        <f t="shared" si="33"/>
        <v>808.</v>
      </c>
      <c r="C1064" s="205" t="s">
        <v>938</v>
      </c>
      <c r="D1064" s="162"/>
      <c r="E1064" s="163"/>
      <c r="F1064" s="159"/>
      <c r="G1064" s="164"/>
      <c r="H1064" s="204" t="s">
        <v>940</v>
      </c>
      <c r="I1064" s="211">
        <v>2024</v>
      </c>
      <c r="J1064" s="208">
        <v>3662</v>
      </c>
      <c r="K1064" s="159"/>
      <c r="L1064" s="204" t="s">
        <v>942</v>
      </c>
      <c r="N1064" s="141">
        <f t="shared" si="34"/>
        <v>808</v>
      </c>
    </row>
    <row r="1065" spans="1:14" ht="15">
      <c r="A1065" s="159"/>
      <c r="B1065" s="143" t="str">
        <f t="shared" si="33"/>
        <v>809.</v>
      </c>
      <c r="C1065" s="205" t="s">
        <v>938</v>
      </c>
      <c r="D1065" s="162"/>
      <c r="E1065" s="163"/>
      <c r="F1065" s="159"/>
      <c r="G1065" s="164"/>
      <c r="H1065" s="204" t="s">
        <v>940</v>
      </c>
      <c r="I1065" s="211">
        <v>2024</v>
      </c>
      <c r="J1065" s="208">
        <v>3662</v>
      </c>
      <c r="K1065" s="159"/>
      <c r="L1065" s="204" t="s">
        <v>942</v>
      </c>
      <c r="N1065" s="141">
        <f t="shared" si="34"/>
        <v>809</v>
      </c>
    </row>
    <row r="1066" spans="1:14" ht="15">
      <c r="A1066" s="159"/>
      <c r="B1066" s="143" t="str">
        <f t="shared" si="33"/>
        <v>810.</v>
      </c>
      <c r="C1066" s="205" t="s">
        <v>938</v>
      </c>
      <c r="D1066" s="162"/>
      <c r="E1066" s="163"/>
      <c r="F1066" s="159"/>
      <c r="G1066" s="164"/>
      <c r="H1066" s="204" t="s">
        <v>940</v>
      </c>
      <c r="I1066" s="211">
        <v>2024</v>
      </c>
      <c r="J1066" s="208">
        <v>4200</v>
      </c>
      <c r="K1066" s="159"/>
      <c r="L1066" s="204" t="s">
        <v>942</v>
      </c>
      <c r="N1066" s="141">
        <f t="shared" si="34"/>
        <v>810</v>
      </c>
    </row>
    <row r="1067" spans="1:14" ht="15">
      <c r="A1067" s="159"/>
      <c r="B1067" s="143" t="str">
        <f t="shared" si="33"/>
        <v>811.</v>
      </c>
      <c r="C1067" s="205" t="s">
        <v>938</v>
      </c>
      <c r="D1067" s="162"/>
      <c r="E1067" s="163"/>
      <c r="F1067" s="159"/>
      <c r="G1067" s="164"/>
      <c r="H1067" s="204" t="s">
        <v>940</v>
      </c>
      <c r="I1067" s="211">
        <v>2024</v>
      </c>
      <c r="J1067" s="208">
        <v>3662</v>
      </c>
      <c r="K1067" s="159"/>
      <c r="L1067" s="204" t="s">
        <v>942</v>
      </c>
      <c r="N1067" s="141">
        <f t="shared" si="34"/>
        <v>811</v>
      </c>
    </row>
    <row r="1068" spans="1:14" ht="15">
      <c r="A1068" s="159"/>
      <c r="B1068" s="143" t="str">
        <f t="shared" si="33"/>
        <v>812.</v>
      </c>
      <c r="C1068" s="205" t="s">
        <v>938</v>
      </c>
      <c r="D1068" s="162"/>
      <c r="E1068" s="163"/>
      <c r="F1068" s="159"/>
      <c r="G1068" s="164"/>
      <c r="H1068" s="204" t="s">
        <v>940</v>
      </c>
      <c r="I1068" s="211">
        <v>2024</v>
      </c>
      <c r="J1068" s="208">
        <v>3662</v>
      </c>
      <c r="K1068" s="159"/>
      <c r="L1068" s="204" t="s">
        <v>942</v>
      </c>
      <c r="N1068" s="141">
        <f t="shared" si="34"/>
        <v>812</v>
      </c>
    </row>
    <row r="1069" spans="1:14" ht="15">
      <c r="A1069" s="159"/>
      <c r="B1069" s="143" t="str">
        <f t="shared" si="33"/>
        <v>813.</v>
      </c>
      <c r="C1069" s="205" t="s">
        <v>938</v>
      </c>
      <c r="D1069" s="162"/>
      <c r="E1069" s="163"/>
      <c r="F1069" s="159"/>
      <c r="G1069" s="164"/>
      <c r="H1069" s="204" t="s">
        <v>940</v>
      </c>
      <c r="I1069" s="211">
        <v>2024</v>
      </c>
      <c r="J1069" s="208">
        <v>3662</v>
      </c>
      <c r="K1069" s="159"/>
      <c r="L1069" s="204" t="s">
        <v>942</v>
      </c>
      <c r="N1069" s="141">
        <f t="shared" si="34"/>
        <v>813</v>
      </c>
    </row>
    <row r="1070" spans="1:14" ht="15">
      <c r="A1070" s="159"/>
      <c r="B1070" s="143" t="str">
        <f t="shared" si="33"/>
        <v>814.</v>
      </c>
      <c r="C1070" s="205" t="s">
        <v>938</v>
      </c>
      <c r="D1070" s="162"/>
      <c r="E1070" s="163"/>
      <c r="F1070" s="159"/>
      <c r="G1070" s="164"/>
      <c r="H1070" s="204" t="s">
        <v>940</v>
      </c>
      <c r="I1070" s="211">
        <v>2024</v>
      </c>
      <c r="J1070" s="208">
        <v>3662</v>
      </c>
      <c r="K1070" s="159"/>
      <c r="L1070" s="204" t="s">
        <v>942</v>
      </c>
      <c r="N1070" s="141">
        <f t="shared" si="34"/>
        <v>814</v>
      </c>
    </row>
    <row r="1071" spans="1:14" ht="15">
      <c r="A1071" s="159"/>
      <c r="B1071" s="143" t="str">
        <f t="shared" si="33"/>
        <v>815.</v>
      </c>
      <c r="C1071" s="205" t="s">
        <v>938</v>
      </c>
      <c r="D1071" s="162"/>
      <c r="E1071" s="163"/>
      <c r="F1071" s="159"/>
      <c r="G1071" s="164"/>
      <c r="H1071" s="204" t="s">
        <v>940</v>
      </c>
      <c r="I1071" s="211">
        <v>2024</v>
      </c>
      <c r="J1071" s="208">
        <v>5247</v>
      </c>
      <c r="K1071" s="159"/>
      <c r="L1071" s="204" t="s">
        <v>942</v>
      </c>
      <c r="N1071" s="141">
        <f t="shared" si="34"/>
        <v>815</v>
      </c>
    </row>
    <row r="1072" spans="1:14" ht="15">
      <c r="A1072" s="159"/>
      <c r="B1072" s="143" t="str">
        <f t="shared" si="33"/>
        <v>816.</v>
      </c>
      <c r="C1072" s="205" t="s">
        <v>938</v>
      </c>
      <c r="D1072" s="162"/>
      <c r="E1072" s="163"/>
      <c r="F1072" s="159"/>
      <c r="G1072" s="164"/>
      <c r="H1072" s="204" t="s">
        <v>940</v>
      </c>
      <c r="I1072" s="211">
        <v>2024</v>
      </c>
      <c r="J1072" s="208">
        <v>3662</v>
      </c>
      <c r="K1072" s="159"/>
      <c r="L1072" s="204" t="s">
        <v>942</v>
      </c>
      <c r="N1072" s="141">
        <f t="shared" si="34"/>
        <v>816</v>
      </c>
    </row>
    <row r="1073" spans="1:14" ht="15">
      <c r="A1073" s="159"/>
      <c r="B1073" s="143" t="str">
        <f t="shared" si="33"/>
        <v>817.</v>
      </c>
      <c r="C1073" s="205" t="s">
        <v>938</v>
      </c>
      <c r="D1073" s="162"/>
      <c r="E1073" s="163"/>
      <c r="F1073" s="159"/>
      <c r="G1073" s="164"/>
      <c r="H1073" s="204" t="s">
        <v>940</v>
      </c>
      <c r="I1073" s="211">
        <v>2024</v>
      </c>
      <c r="J1073" s="208">
        <v>3662</v>
      </c>
      <c r="K1073" s="159"/>
      <c r="L1073" s="204" t="s">
        <v>942</v>
      </c>
      <c r="N1073" s="141">
        <f t="shared" si="34"/>
        <v>817</v>
      </c>
    </row>
    <row r="1074" spans="1:14" ht="15">
      <c r="A1074" s="159"/>
      <c r="B1074" s="143" t="str">
        <f t="shared" si="33"/>
        <v>818.</v>
      </c>
      <c r="C1074" s="205" t="s">
        <v>938</v>
      </c>
      <c r="D1074" s="162"/>
      <c r="E1074" s="163"/>
      <c r="F1074" s="159"/>
      <c r="G1074" s="164"/>
      <c r="H1074" s="204" t="s">
        <v>940</v>
      </c>
      <c r="I1074" s="211">
        <v>2024</v>
      </c>
      <c r="J1074" s="208">
        <v>3662</v>
      </c>
      <c r="K1074" s="159"/>
      <c r="L1074" s="204" t="s">
        <v>942</v>
      </c>
      <c r="N1074" s="141">
        <f t="shared" si="34"/>
        <v>818</v>
      </c>
    </row>
    <row r="1075" spans="1:14" ht="15">
      <c r="A1075" s="159"/>
      <c r="B1075" s="143" t="str">
        <f t="shared" si="33"/>
        <v>819.</v>
      </c>
      <c r="C1075" s="205" t="s">
        <v>938</v>
      </c>
      <c r="D1075" s="162"/>
      <c r="E1075" s="163"/>
      <c r="F1075" s="159"/>
      <c r="G1075" s="164"/>
      <c r="H1075" s="204" t="s">
        <v>940</v>
      </c>
      <c r="I1075" s="211">
        <v>2024</v>
      </c>
      <c r="J1075" s="208">
        <v>3662</v>
      </c>
      <c r="K1075" s="159"/>
      <c r="L1075" s="204" t="s">
        <v>942</v>
      </c>
      <c r="N1075" s="141">
        <f t="shared" si="34"/>
        <v>819</v>
      </c>
    </row>
    <row r="1076" spans="1:14" ht="15">
      <c r="A1076" s="159"/>
      <c r="B1076" s="143" t="str">
        <f t="shared" si="33"/>
        <v>820.</v>
      </c>
      <c r="C1076" s="205" t="s">
        <v>938</v>
      </c>
      <c r="D1076" s="162"/>
      <c r="E1076" s="163"/>
      <c r="F1076" s="159"/>
      <c r="G1076" s="164"/>
      <c r="H1076" s="204" t="s">
        <v>940</v>
      </c>
      <c r="I1076" s="211">
        <v>2024</v>
      </c>
      <c r="J1076" s="208">
        <v>3662</v>
      </c>
      <c r="K1076" s="159"/>
      <c r="L1076" s="204" t="s">
        <v>942</v>
      </c>
      <c r="N1076" s="141">
        <f t="shared" si="34"/>
        <v>820</v>
      </c>
    </row>
    <row r="1077" spans="1:14" ht="15">
      <c r="A1077" s="159"/>
      <c r="B1077" s="143" t="str">
        <f t="shared" si="33"/>
        <v>821.</v>
      </c>
      <c r="C1077" s="205" t="s">
        <v>938</v>
      </c>
      <c r="D1077" s="162"/>
      <c r="E1077" s="163"/>
      <c r="F1077" s="159"/>
      <c r="G1077" s="164"/>
      <c r="H1077" s="204" t="s">
        <v>940</v>
      </c>
      <c r="I1077" s="211">
        <v>2024</v>
      </c>
      <c r="J1077" s="208">
        <v>3662</v>
      </c>
      <c r="K1077" s="159"/>
      <c r="L1077" s="204" t="s">
        <v>942</v>
      </c>
      <c r="N1077" s="141">
        <f t="shared" si="34"/>
        <v>821</v>
      </c>
    </row>
    <row r="1078" spans="1:14" ht="15">
      <c r="A1078" s="159"/>
      <c r="B1078" s="143" t="str">
        <f t="shared" si="33"/>
        <v>822.</v>
      </c>
      <c r="C1078" s="205" t="s">
        <v>938</v>
      </c>
      <c r="D1078" s="162"/>
      <c r="E1078" s="163"/>
      <c r="F1078" s="159"/>
      <c r="G1078" s="164"/>
      <c r="H1078" s="204" t="s">
        <v>940</v>
      </c>
      <c r="I1078" s="211">
        <v>2024</v>
      </c>
      <c r="J1078" s="208">
        <v>3662</v>
      </c>
      <c r="K1078" s="159"/>
      <c r="L1078" s="204" t="s">
        <v>942</v>
      </c>
      <c r="N1078" s="141">
        <f t="shared" si="34"/>
        <v>822</v>
      </c>
    </row>
    <row r="1079" spans="1:14" ht="15">
      <c r="A1079" s="159"/>
      <c r="B1079" s="143" t="str">
        <f t="shared" si="33"/>
        <v>823.</v>
      </c>
      <c r="C1079" s="205" t="s">
        <v>938</v>
      </c>
      <c r="D1079" s="162"/>
      <c r="E1079" s="163"/>
      <c r="F1079" s="159"/>
      <c r="G1079" s="164"/>
      <c r="H1079" s="204" t="s">
        <v>940</v>
      </c>
      <c r="I1079" s="211">
        <v>2024</v>
      </c>
      <c r="J1079" s="208">
        <v>4200</v>
      </c>
      <c r="K1079" s="159"/>
      <c r="L1079" s="204" t="s">
        <v>942</v>
      </c>
      <c r="N1079" s="141">
        <f t="shared" si="34"/>
        <v>823</v>
      </c>
    </row>
    <row r="1080" spans="1:14" ht="15">
      <c r="A1080" s="159"/>
      <c r="B1080" s="143" t="str">
        <f t="shared" si="33"/>
        <v>824.</v>
      </c>
      <c r="C1080" s="205" t="s">
        <v>938</v>
      </c>
      <c r="D1080" s="162"/>
      <c r="E1080" s="163"/>
      <c r="F1080" s="159"/>
      <c r="G1080" s="164"/>
      <c r="H1080" s="204" t="s">
        <v>940</v>
      </c>
      <c r="I1080" s="211">
        <v>2024</v>
      </c>
      <c r="J1080" s="208">
        <v>3662</v>
      </c>
      <c r="K1080" s="159"/>
      <c r="L1080" s="204" t="s">
        <v>942</v>
      </c>
      <c r="N1080" s="141">
        <f t="shared" si="34"/>
        <v>824</v>
      </c>
    </row>
    <row r="1081" spans="1:14" ht="15">
      <c r="A1081" s="159"/>
      <c r="B1081" s="143" t="str">
        <f t="shared" si="33"/>
        <v>825.</v>
      </c>
      <c r="C1081" s="205" t="s">
        <v>938</v>
      </c>
      <c r="D1081" s="162"/>
      <c r="E1081" s="163"/>
      <c r="F1081" s="159"/>
      <c r="G1081" s="164"/>
      <c r="H1081" s="204" t="s">
        <v>940</v>
      </c>
      <c r="I1081" s="211">
        <v>2024</v>
      </c>
      <c r="J1081" s="208">
        <v>4200</v>
      </c>
      <c r="K1081" s="159"/>
      <c r="L1081" s="204" t="s">
        <v>942</v>
      </c>
      <c r="N1081" s="141">
        <f t="shared" si="34"/>
        <v>825</v>
      </c>
    </row>
    <row r="1082" spans="1:14" ht="15">
      <c r="A1082" s="159"/>
      <c r="B1082" s="143" t="str">
        <f t="shared" si="33"/>
        <v>826.</v>
      </c>
      <c r="C1082" s="205" t="s">
        <v>938</v>
      </c>
      <c r="D1082" s="162"/>
      <c r="E1082" s="163"/>
      <c r="F1082" s="159"/>
      <c r="G1082" s="164"/>
      <c r="H1082" s="204" t="s">
        <v>940</v>
      </c>
      <c r="I1082" s="211">
        <v>2024</v>
      </c>
      <c r="J1082" s="208">
        <v>3662</v>
      </c>
      <c r="K1082" s="159"/>
      <c r="L1082" s="204" t="s">
        <v>942</v>
      </c>
      <c r="N1082" s="141">
        <f t="shared" si="34"/>
        <v>826</v>
      </c>
    </row>
    <row r="1083" spans="1:14" ht="15">
      <c r="A1083" s="159"/>
      <c r="B1083" s="143" t="str">
        <f t="shared" si="33"/>
        <v>827.</v>
      </c>
      <c r="C1083" s="205" t="s">
        <v>938</v>
      </c>
      <c r="D1083" s="162"/>
      <c r="E1083" s="163"/>
      <c r="F1083" s="159"/>
      <c r="G1083" s="164"/>
      <c r="H1083" s="204" t="s">
        <v>940</v>
      </c>
      <c r="I1083" s="211">
        <v>2024</v>
      </c>
      <c r="J1083" s="208">
        <v>3662</v>
      </c>
      <c r="K1083" s="159"/>
      <c r="L1083" s="204" t="s">
        <v>942</v>
      </c>
      <c r="N1083" s="141">
        <f t="shared" si="34"/>
        <v>827</v>
      </c>
    </row>
    <row r="1084" spans="1:14" ht="15">
      <c r="A1084" s="159"/>
      <c r="B1084" s="143" t="str">
        <f t="shared" si="33"/>
        <v>828.</v>
      </c>
      <c r="C1084" s="205" t="s">
        <v>938</v>
      </c>
      <c r="D1084" s="162"/>
      <c r="E1084" s="163"/>
      <c r="F1084" s="159"/>
      <c r="G1084" s="164"/>
      <c r="H1084" s="204" t="s">
        <v>940</v>
      </c>
      <c r="I1084" s="211">
        <v>2024</v>
      </c>
      <c r="J1084" s="208">
        <v>4200</v>
      </c>
      <c r="K1084" s="159"/>
      <c r="L1084" s="204" t="s">
        <v>942</v>
      </c>
      <c r="N1084" s="141">
        <f t="shared" si="34"/>
        <v>828</v>
      </c>
    </row>
    <row r="1085" spans="1:14" ht="15">
      <c r="A1085" s="159"/>
      <c r="B1085" s="143" t="str">
        <f t="shared" si="33"/>
        <v>829.</v>
      </c>
      <c r="C1085" s="205" t="s">
        <v>938</v>
      </c>
      <c r="D1085" s="162"/>
      <c r="E1085" s="163"/>
      <c r="F1085" s="159"/>
      <c r="G1085" s="164"/>
      <c r="H1085" s="204" t="s">
        <v>940</v>
      </c>
      <c r="I1085" s="211">
        <v>2024</v>
      </c>
      <c r="J1085" s="208">
        <v>5156</v>
      </c>
      <c r="K1085" s="159"/>
      <c r="L1085" s="204" t="s">
        <v>942</v>
      </c>
      <c r="N1085" s="141">
        <f t="shared" si="34"/>
        <v>829</v>
      </c>
    </row>
    <row r="1086" spans="1:14" ht="15">
      <c r="A1086" s="159"/>
      <c r="B1086" s="143" t="str">
        <f t="shared" si="33"/>
        <v>830.</v>
      </c>
      <c r="C1086" s="205" t="s">
        <v>938</v>
      </c>
      <c r="D1086" s="162"/>
      <c r="E1086" s="163"/>
      <c r="F1086" s="159"/>
      <c r="G1086" s="164"/>
      <c r="H1086" s="204" t="s">
        <v>940</v>
      </c>
      <c r="I1086" s="211">
        <v>2024</v>
      </c>
      <c r="J1086" s="208">
        <v>3662</v>
      </c>
      <c r="K1086" s="159"/>
      <c r="L1086" s="204" t="s">
        <v>942</v>
      </c>
      <c r="N1086" s="141">
        <f t="shared" si="34"/>
        <v>830</v>
      </c>
    </row>
    <row r="1087" spans="1:14" ht="15">
      <c r="A1087" s="159"/>
      <c r="B1087" s="143" t="str">
        <f t="shared" si="33"/>
        <v>831.</v>
      </c>
      <c r="C1087" s="205" t="s">
        <v>938</v>
      </c>
      <c r="D1087" s="162"/>
      <c r="E1087" s="163"/>
      <c r="F1087" s="159"/>
      <c r="G1087" s="164"/>
      <c r="H1087" s="204" t="s">
        <v>940</v>
      </c>
      <c r="I1087" s="211">
        <v>2024</v>
      </c>
      <c r="J1087" s="208">
        <v>4200</v>
      </c>
      <c r="K1087" s="159"/>
      <c r="L1087" s="204" t="s">
        <v>942</v>
      </c>
      <c r="N1087" s="141">
        <f t="shared" si="34"/>
        <v>831</v>
      </c>
    </row>
    <row r="1088" spans="1:14" ht="15">
      <c r="A1088" s="159"/>
      <c r="B1088" s="143" t="str">
        <f t="shared" si="33"/>
        <v>832.</v>
      </c>
      <c r="C1088" s="205" t="s">
        <v>938</v>
      </c>
      <c r="D1088" s="162"/>
      <c r="E1088" s="163"/>
      <c r="F1088" s="159"/>
      <c r="G1088" s="164"/>
      <c r="H1088" s="204" t="s">
        <v>940</v>
      </c>
      <c r="I1088" s="211">
        <v>2024</v>
      </c>
      <c r="J1088" s="208">
        <v>4200</v>
      </c>
      <c r="K1088" s="159"/>
      <c r="L1088" s="204" t="s">
        <v>942</v>
      </c>
      <c r="N1088" s="141">
        <f t="shared" si="34"/>
        <v>832</v>
      </c>
    </row>
    <row r="1089" spans="1:14" ht="15">
      <c r="A1089" s="159"/>
      <c r="B1089" s="143" t="str">
        <f t="shared" ref="B1089:B1152" si="35">N1089&amp;"."</f>
        <v>833.</v>
      </c>
      <c r="C1089" s="205" t="s">
        <v>938</v>
      </c>
      <c r="D1089" s="162"/>
      <c r="E1089" s="163"/>
      <c r="F1089" s="159"/>
      <c r="G1089" s="164"/>
      <c r="H1089" s="204" t="s">
        <v>940</v>
      </c>
      <c r="I1089" s="211">
        <v>2024</v>
      </c>
      <c r="J1089" s="208">
        <v>3662</v>
      </c>
      <c r="K1089" s="159"/>
      <c r="L1089" s="204" t="s">
        <v>942</v>
      </c>
      <c r="N1089" s="141">
        <f t="shared" si="34"/>
        <v>833</v>
      </c>
    </row>
    <row r="1090" spans="1:14" ht="15">
      <c r="A1090" s="159"/>
      <c r="B1090" s="143" t="str">
        <f t="shared" si="35"/>
        <v>834.</v>
      </c>
      <c r="C1090" s="205" t="s">
        <v>938</v>
      </c>
      <c r="D1090" s="162"/>
      <c r="E1090" s="163"/>
      <c r="F1090" s="159"/>
      <c r="G1090" s="164"/>
      <c r="H1090" s="204" t="s">
        <v>940</v>
      </c>
      <c r="I1090" s="211">
        <v>2024</v>
      </c>
      <c r="J1090" s="208">
        <v>4637</v>
      </c>
      <c r="K1090" s="159"/>
      <c r="L1090" s="204" t="s">
        <v>942</v>
      </c>
      <c r="N1090" s="141">
        <f t="shared" si="34"/>
        <v>834</v>
      </c>
    </row>
    <row r="1091" spans="1:14" ht="15">
      <c r="A1091" s="159"/>
      <c r="B1091" s="143" t="str">
        <f t="shared" si="35"/>
        <v>835.</v>
      </c>
      <c r="C1091" s="205" t="s">
        <v>938</v>
      </c>
      <c r="D1091" s="162"/>
      <c r="E1091" s="163"/>
      <c r="F1091" s="159"/>
      <c r="G1091" s="164"/>
      <c r="H1091" s="204" t="s">
        <v>940</v>
      </c>
      <c r="I1091" s="211">
        <v>2024</v>
      </c>
      <c r="J1091" s="208">
        <v>3662</v>
      </c>
      <c r="K1091" s="159"/>
      <c r="L1091" s="204" t="s">
        <v>942</v>
      </c>
      <c r="N1091" s="141">
        <f t="shared" ref="N1091:N1154" si="36">N1090+1</f>
        <v>835</v>
      </c>
    </row>
    <row r="1092" spans="1:14" ht="15">
      <c r="A1092" s="159"/>
      <c r="B1092" s="143" t="str">
        <f t="shared" si="35"/>
        <v>836.</v>
      </c>
      <c r="C1092" s="205" t="s">
        <v>938</v>
      </c>
      <c r="D1092" s="162"/>
      <c r="E1092" s="163"/>
      <c r="F1092" s="159"/>
      <c r="G1092" s="164"/>
      <c r="H1092" s="204" t="s">
        <v>940</v>
      </c>
      <c r="I1092" s="211">
        <v>2024</v>
      </c>
      <c r="J1092" s="208">
        <v>3662</v>
      </c>
      <c r="K1092" s="159"/>
      <c r="L1092" s="204" t="s">
        <v>942</v>
      </c>
      <c r="N1092" s="141">
        <f t="shared" si="36"/>
        <v>836</v>
      </c>
    </row>
    <row r="1093" spans="1:14" ht="15">
      <c r="A1093" s="159"/>
      <c r="B1093" s="143" t="str">
        <f t="shared" si="35"/>
        <v>837.</v>
      </c>
      <c r="C1093" s="205" t="s">
        <v>938</v>
      </c>
      <c r="D1093" s="162"/>
      <c r="E1093" s="163"/>
      <c r="F1093" s="159"/>
      <c r="G1093" s="164"/>
      <c r="H1093" s="204" t="s">
        <v>940</v>
      </c>
      <c r="I1093" s="211">
        <v>2024</v>
      </c>
      <c r="J1093" s="208">
        <v>4200</v>
      </c>
      <c r="K1093" s="159"/>
      <c r="L1093" s="204" t="s">
        <v>942</v>
      </c>
      <c r="N1093" s="141">
        <f t="shared" si="36"/>
        <v>837</v>
      </c>
    </row>
    <row r="1094" spans="1:14" ht="15">
      <c r="A1094" s="159"/>
      <c r="B1094" s="143" t="str">
        <f t="shared" si="35"/>
        <v>838.</v>
      </c>
      <c r="C1094" s="205" t="s">
        <v>938</v>
      </c>
      <c r="D1094" s="162"/>
      <c r="E1094" s="163"/>
      <c r="F1094" s="159"/>
      <c r="G1094" s="164"/>
      <c r="H1094" s="204" t="s">
        <v>940</v>
      </c>
      <c r="I1094" s="211">
        <v>2024</v>
      </c>
      <c r="J1094" s="208">
        <v>4200</v>
      </c>
      <c r="K1094" s="159"/>
      <c r="L1094" s="204" t="s">
        <v>942</v>
      </c>
      <c r="N1094" s="141">
        <f t="shared" si="36"/>
        <v>838</v>
      </c>
    </row>
    <row r="1095" spans="1:14" ht="15">
      <c r="A1095" s="159"/>
      <c r="B1095" s="143" t="str">
        <f t="shared" si="35"/>
        <v>839.</v>
      </c>
      <c r="C1095" s="205" t="s">
        <v>938</v>
      </c>
      <c r="D1095" s="162"/>
      <c r="E1095" s="163"/>
      <c r="F1095" s="159"/>
      <c r="G1095" s="164"/>
      <c r="H1095" s="204" t="s">
        <v>940</v>
      </c>
      <c r="I1095" s="211">
        <v>2024</v>
      </c>
      <c r="J1095" s="208">
        <v>3662</v>
      </c>
      <c r="K1095" s="159"/>
      <c r="L1095" s="204" t="s">
        <v>942</v>
      </c>
      <c r="N1095" s="141">
        <f t="shared" si="36"/>
        <v>839</v>
      </c>
    </row>
    <row r="1096" spans="1:14" ht="15">
      <c r="A1096" s="159"/>
      <c r="B1096" s="143" t="str">
        <f t="shared" si="35"/>
        <v>840.</v>
      </c>
      <c r="C1096" s="205" t="s">
        <v>938</v>
      </c>
      <c r="D1096" s="162"/>
      <c r="E1096" s="163"/>
      <c r="F1096" s="159"/>
      <c r="G1096" s="164"/>
      <c r="H1096" s="204" t="s">
        <v>940</v>
      </c>
      <c r="I1096" s="211">
        <v>2024</v>
      </c>
      <c r="J1096" s="208">
        <v>4200</v>
      </c>
      <c r="K1096" s="159"/>
      <c r="L1096" s="204" t="s">
        <v>942</v>
      </c>
      <c r="N1096" s="141">
        <f t="shared" si="36"/>
        <v>840</v>
      </c>
    </row>
    <row r="1097" spans="1:14" ht="15">
      <c r="A1097" s="159"/>
      <c r="B1097" s="143" t="str">
        <f t="shared" si="35"/>
        <v>841.</v>
      </c>
      <c r="C1097" s="205" t="s">
        <v>938</v>
      </c>
      <c r="D1097" s="162"/>
      <c r="E1097" s="163"/>
      <c r="F1097" s="159"/>
      <c r="G1097" s="164"/>
      <c r="H1097" s="204" t="s">
        <v>940</v>
      </c>
      <c r="I1097" s="211">
        <v>2024</v>
      </c>
      <c r="J1097" s="208">
        <v>3662</v>
      </c>
      <c r="K1097" s="159"/>
      <c r="L1097" s="204" t="s">
        <v>942</v>
      </c>
      <c r="N1097" s="141">
        <f t="shared" si="36"/>
        <v>841</v>
      </c>
    </row>
    <row r="1098" spans="1:14" ht="15">
      <c r="A1098" s="159"/>
      <c r="B1098" s="143" t="str">
        <f t="shared" si="35"/>
        <v>842.</v>
      </c>
      <c r="C1098" s="205" t="s">
        <v>938</v>
      </c>
      <c r="D1098" s="162"/>
      <c r="E1098" s="163"/>
      <c r="F1098" s="159"/>
      <c r="G1098" s="164"/>
      <c r="H1098" s="204" t="s">
        <v>940</v>
      </c>
      <c r="I1098" s="211">
        <v>2024</v>
      </c>
      <c r="J1098" s="208">
        <v>4200</v>
      </c>
      <c r="K1098" s="159"/>
      <c r="L1098" s="204" t="s">
        <v>942</v>
      </c>
      <c r="N1098" s="141">
        <f t="shared" si="36"/>
        <v>842</v>
      </c>
    </row>
    <row r="1099" spans="1:14" ht="15">
      <c r="A1099" s="159"/>
      <c r="B1099" s="143" t="str">
        <f t="shared" si="35"/>
        <v>843.</v>
      </c>
      <c r="C1099" s="205" t="s">
        <v>938</v>
      </c>
      <c r="D1099" s="162"/>
      <c r="E1099" s="163"/>
      <c r="F1099" s="159"/>
      <c r="G1099" s="164"/>
      <c r="H1099" s="204" t="s">
        <v>940</v>
      </c>
      <c r="I1099" s="211">
        <v>2024</v>
      </c>
      <c r="J1099" s="208">
        <v>3662</v>
      </c>
      <c r="K1099" s="159"/>
      <c r="L1099" s="204" t="s">
        <v>942</v>
      </c>
      <c r="N1099" s="141">
        <f t="shared" si="36"/>
        <v>843</v>
      </c>
    </row>
    <row r="1100" spans="1:14" ht="15">
      <c r="A1100" s="159"/>
      <c r="B1100" s="143" t="str">
        <f t="shared" si="35"/>
        <v>844.</v>
      </c>
      <c r="C1100" s="205" t="s">
        <v>938</v>
      </c>
      <c r="D1100" s="162"/>
      <c r="E1100" s="163"/>
      <c r="F1100" s="159"/>
      <c r="G1100" s="164"/>
      <c r="H1100" s="204" t="s">
        <v>940</v>
      </c>
      <c r="I1100" s="211">
        <v>2024</v>
      </c>
      <c r="J1100" s="208">
        <v>3662</v>
      </c>
      <c r="K1100" s="159"/>
      <c r="L1100" s="204" t="s">
        <v>942</v>
      </c>
      <c r="N1100" s="141">
        <f t="shared" si="36"/>
        <v>844</v>
      </c>
    </row>
    <row r="1101" spans="1:14" ht="15">
      <c r="A1101" s="159"/>
      <c r="B1101" s="143" t="str">
        <f t="shared" si="35"/>
        <v>845.</v>
      </c>
      <c r="C1101" s="205" t="s">
        <v>938</v>
      </c>
      <c r="D1101" s="162"/>
      <c r="E1101" s="163"/>
      <c r="F1101" s="159"/>
      <c r="G1101" s="164"/>
      <c r="H1101" s="204" t="s">
        <v>940</v>
      </c>
      <c r="I1101" s="211">
        <v>2024</v>
      </c>
      <c r="J1101" s="208">
        <v>3662</v>
      </c>
      <c r="K1101" s="159"/>
      <c r="L1101" s="204" t="s">
        <v>942</v>
      </c>
      <c r="N1101" s="141">
        <f t="shared" si="36"/>
        <v>845</v>
      </c>
    </row>
    <row r="1102" spans="1:14" ht="15">
      <c r="A1102" s="159"/>
      <c r="B1102" s="143" t="str">
        <f t="shared" si="35"/>
        <v>846.</v>
      </c>
      <c r="C1102" s="205" t="s">
        <v>938</v>
      </c>
      <c r="D1102" s="162"/>
      <c r="E1102" s="163"/>
      <c r="F1102" s="159"/>
      <c r="G1102" s="164"/>
      <c r="H1102" s="204" t="s">
        <v>940</v>
      </c>
      <c r="I1102" s="211">
        <v>2024</v>
      </c>
      <c r="J1102" s="208">
        <v>4200</v>
      </c>
      <c r="K1102" s="159"/>
      <c r="L1102" s="204" t="s">
        <v>942</v>
      </c>
      <c r="N1102" s="141">
        <f t="shared" si="36"/>
        <v>846</v>
      </c>
    </row>
    <row r="1103" spans="1:14" ht="15">
      <c r="A1103" s="159"/>
      <c r="B1103" s="143" t="str">
        <f t="shared" si="35"/>
        <v>847.</v>
      </c>
      <c r="C1103" s="205" t="s">
        <v>938</v>
      </c>
      <c r="D1103" s="162"/>
      <c r="E1103" s="163"/>
      <c r="F1103" s="159"/>
      <c r="G1103" s="164"/>
      <c r="H1103" s="204" t="s">
        <v>940</v>
      </c>
      <c r="I1103" s="211">
        <v>2024</v>
      </c>
      <c r="J1103" s="208">
        <v>4200</v>
      </c>
      <c r="K1103" s="159"/>
      <c r="L1103" s="204" t="s">
        <v>942</v>
      </c>
      <c r="N1103" s="141">
        <f t="shared" si="36"/>
        <v>847</v>
      </c>
    </row>
    <row r="1104" spans="1:14" ht="15">
      <c r="A1104" s="159"/>
      <c r="B1104" s="143" t="str">
        <f t="shared" si="35"/>
        <v>848.</v>
      </c>
      <c r="C1104" s="205" t="s">
        <v>938</v>
      </c>
      <c r="D1104" s="162"/>
      <c r="E1104" s="163"/>
      <c r="F1104" s="159"/>
      <c r="G1104" s="164"/>
      <c r="H1104" s="204" t="s">
        <v>940</v>
      </c>
      <c r="I1104" s="211">
        <v>2024</v>
      </c>
      <c r="J1104" s="208">
        <v>3662</v>
      </c>
      <c r="K1104" s="159"/>
      <c r="L1104" s="204" t="s">
        <v>942</v>
      </c>
      <c r="N1104" s="141">
        <f t="shared" si="36"/>
        <v>848</v>
      </c>
    </row>
    <row r="1105" spans="1:14" ht="15">
      <c r="A1105" s="159"/>
      <c r="B1105" s="143" t="str">
        <f t="shared" si="35"/>
        <v>849.</v>
      </c>
      <c r="C1105" s="205" t="s">
        <v>938</v>
      </c>
      <c r="D1105" s="162"/>
      <c r="E1105" s="163"/>
      <c r="F1105" s="159"/>
      <c r="G1105" s="164"/>
      <c r="H1105" s="204" t="s">
        <v>940</v>
      </c>
      <c r="I1105" s="211">
        <v>2024</v>
      </c>
      <c r="J1105" s="208">
        <v>3662</v>
      </c>
      <c r="K1105" s="159"/>
      <c r="L1105" s="204" t="s">
        <v>942</v>
      </c>
      <c r="N1105" s="141">
        <f t="shared" si="36"/>
        <v>849</v>
      </c>
    </row>
    <row r="1106" spans="1:14" ht="15">
      <c r="A1106" s="159"/>
      <c r="B1106" s="143" t="str">
        <f t="shared" si="35"/>
        <v>850.</v>
      </c>
      <c r="C1106" s="205" t="s">
        <v>938</v>
      </c>
      <c r="D1106" s="162"/>
      <c r="E1106" s="163"/>
      <c r="F1106" s="159"/>
      <c r="G1106" s="164"/>
      <c r="H1106" s="204" t="s">
        <v>940</v>
      </c>
      <c r="I1106" s="211">
        <v>2024</v>
      </c>
      <c r="J1106" s="208">
        <v>3662</v>
      </c>
      <c r="K1106" s="159"/>
      <c r="L1106" s="204" t="s">
        <v>942</v>
      </c>
      <c r="N1106" s="141">
        <f t="shared" si="36"/>
        <v>850</v>
      </c>
    </row>
    <row r="1107" spans="1:14" ht="15">
      <c r="A1107" s="159"/>
      <c r="B1107" s="143" t="str">
        <f t="shared" si="35"/>
        <v>851.</v>
      </c>
      <c r="C1107" s="205" t="s">
        <v>938</v>
      </c>
      <c r="D1107" s="162"/>
      <c r="E1107" s="163"/>
      <c r="F1107" s="159"/>
      <c r="G1107" s="164"/>
      <c r="H1107" s="204" t="s">
        <v>940</v>
      </c>
      <c r="I1107" s="211">
        <v>2024</v>
      </c>
      <c r="J1107" s="208">
        <v>3662</v>
      </c>
      <c r="K1107" s="159"/>
      <c r="L1107" s="204" t="s">
        <v>942</v>
      </c>
      <c r="N1107" s="141">
        <f t="shared" si="36"/>
        <v>851</v>
      </c>
    </row>
    <row r="1108" spans="1:14" ht="15">
      <c r="A1108" s="159"/>
      <c r="B1108" s="143" t="str">
        <f t="shared" si="35"/>
        <v>852.</v>
      </c>
      <c r="C1108" s="205" t="s">
        <v>938</v>
      </c>
      <c r="D1108" s="162"/>
      <c r="E1108" s="163"/>
      <c r="F1108" s="159"/>
      <c r="G1108" s="164"/>
      <c r="H1108" s="204" t="s">
        <v>940</v>
      </c>
      <c r="I1108" s="211">
        <v>2024</v>
      </c>
      <c r="J1108" s="208">
        <v>5156</v>
      </c>
      <c r="K1108" s="159"/>
      <c r="L1108" s="204" t="s">
        <v>942</v>
      </c>
      <c r="N1108" s="141">
        <f t="shared" si="36"/>
        <v>852</v>
      </c>
    </row>
    <row r="1109" spans="1:14" ht="15">
      <c r="A1109" s="159"/>
      <c r="B1109" s="143" t="str">
        <f t="shared" si="35"/>
        <v>853.</v>
      </c>
      <c r="C1109" s="205" t="s">
        <v>938</v>
      </c>
      <c r="D1109" s="162"/>
      <c r="E1109" s="163"/>
      <c r="F1109" s="159"/>
      <c r="G1109" s="164"/>
      <c r="H1109" s="204" t="s">
        <v>940</v>
      </c>
      <c r="I1109" s="211">
        <v>2024</v>
      </c>
      <c r="J1109" s="208">
        <v>4200</v>
      </c>
      <c r="K1109" s="159"/>
      <c r="L1109" s="204" t="s">
        <v>942</v>
      </c>
      <c r="N1109" s="141">
        <f t="shared" si="36"/>
        <v>853</v>
      </c>
    </row>
    <row r="1110" spans="1:14" ht="15">
      <c r="A1110" s="159"/>
      <c r="B1110" s="143" t="str">
        <f t="shared" si="35"/>
        <v>854.</v>
      </c>
      <c r="C1110" s="205" t="s">
        <v>938</v>
      </c>
      <c r="D1110" s="162"/>
      <c r="E1110" s="163"/>
      <c r="F1110" s="159"/>
      <c r="G1110" s="164"/>
      <c r="H1110" s="204" t="s">
        <v>940</v>
      </c>
      <c r="I1110" s="211">
        <v>2024</v>
      </c>
      <c r="J1110" s="208">
        <v>4200</v>
      </c>
      <c r="K1110" s="159"/>
      <c r="L1110" s="204" t="s">
        <v>942</v>
      </c>
      <c r="N1110" s="141">
        <f t="shared" si="36"/>
        <v>854</v>
      </c>
    </row>
    <row r="1111" spans="1:14" ht="15">
      <c r="A1111" s="159"/>
      <c r="B1111" s="143" t="str">
        <f t="shared" si="35"/>
        <v>855.</v>
      </c>
      <c r="C1111" s="205" t="s">
        <v>938</v>
      </c>
      <c r="D1111" s="162"/>
      <c r="E1111" s="163"/>
      <c r="F1111" s="159"/>
      <c r="G1111" s="164"/>
      <c r="H1111" s="204" t="s">
        <v>940</v>
      </c>
      <c r="I1111" s="211">
        <v>2024</v>
      </c>
      <c r="J1111" s="208">
        <v>3662</v>
      </c>
      <c r="K1111" s="159"/>
      <c r="L1111" s="204" t="s">
        <v>942</v>
      </c>
      <c r="N1111" s="141">
        <f t="shared" si="36"/>
        <v>855</v>
      </c>
    </row>
    <row r="1112" spans="1:14" ht="15">
      <c r="A1112" s="159"/>
      <c r="B1112" s="143" t="str">
        <f t="shared" si="35"/>
        <v>856.</v>
      </c>
      <c r="C1112" s="205" t="s">
        <v>938</v>
      </c>
      <c r="D1112" s="162"/>
      <c r="E1112" s="163"/>
      <c r="F1112" s="159"/>
      <c r="G1112" s="164"/>
      <c r="H1112" s="204" t="s">
        <v>940</v>
      </c>
      <c r="I1112" s="211">
        <v>2024</v>
      </c>
      <c r="J1112" s="208">
        <v>4200</v>
      </c>
      <c r="K1112" s="159"/>
      <c r="L1112" s="204" t="s">
        <v>942</v>
      </c>
      <c r="N1112" s="141">
        <f t="shared" si="36"/>
        <v>856</v>
      </c>
    </row>
    <row r="1113" spans="1:14" ht="15">
      <c r="A1113" s="159"/>
      <c r="B1113" s="143" t="str">
        <f t="shared" si="35"/>
        <v>857.</v>
      </c>
      <c r="C1113" s="205" t="s">
        <v>938</v>
      </c>
      <c r="D1113" s="162"/>
      <c r="E1113" s="163"/>
      <c r="F1113" s="159"/>
      <c r="G1113" s="164"/>
      <c r="H1113" s="204" t="s">
        <v>940</v>
      </c>
      <c r="I1113" s="211">
        <v>2024</v>
      </c>
      <c r="J1113" s="208">
        <v>4200</v>
      </c>
      <c r="K1113" s="159"/>
      <c r="L1113" s="204" t="s">
        <v>942</v>
      </c>
      <c r="N1113" s="141">
        <f t="shared" si="36"/>
        <v>857</v>
      </c>
    </row>
    <row r="1114" spans="1:14" ht="15">
      <c r="A1114" s="159"/>
      <c r="B1114" s="143" t="str">
        <f t="shared" si="35"/>
        <v>858.</v>
      </c>
      <c r="C1114" s="205" t="s">
        <v>938</v>
      </c>
      <c r="D1114" s="162"/>
      <c r="E1114" s="163"/>
      <c r="F1114" s="159"/>
      <c r="G1114" s="164"/>
      <c r="H1114" s="204" t="s">
        <v>940</v>
      </c>
      <c r="I1114" s="211">
        <v>2024</v>
      </c>
      <c r="J1114" s="208">
        <v>3662</v>
      </c>
      <c r="K1114" s="159"/>
      <c r="L1114" s="204" t="s">
        <v>942</v>
      </c>
      <c r="N1114" s="141">
        <f t="shared" si="36"/>
        <v>858</v>
      </c>
    </row>
    <row r="1115" spans="1:14" ht="15">
      <c r="A1115" s="159"/>
      <c r="B1115" s="143" t="str">
        <f t="shared" si="35"/>
        <v>859.</v>
      </c>
      <c r="C1115" s="205" t="s">
        <v>938</v>
      </c>
      <c r="D1115" s="162"/>
      <c r="E1115" s="163"/>
      <c r="F1115" s="159"/>
      <c r="G1115" s="164"/>
      <c r="H1115" s="204" t="s">
        <v>940</v>
      </c>
      <c r="I1115" s="211">
        <v>2024</v>
      </c>
      <c r="J1115" s="208">
        <v>4200</v>
      </c>
      <c r="K1115" s="159"/>
      <c r="L1115" s="204" t="s">
        <v>942</v>
      </c>
      <c r="N1115" s="141">
        <f t="shared" si="36"/>
        <v>859</v>
      </c>
    </row>
    <row r="1116" spans="1:14" ht="15">
      <c r="A1116" s="159"/>
      <c r="B1116" s="143" t="str">
        <f t="shared" si="35"/>
        <v>860.</v>
      </c>
      <c r="C1116" s="205" t="s">
        <v>938</v>
      </c>
      <c r="D1116" s="162"/>
      <c r="E1116" s="163"/>
      <c r="F1116" s="159"/>
      <c r="G1116" s="164"/>
      <c r="H1116" s="204" t="s">
        <v>940</v>
      </c>
      <c r="I1116" s="211">
        <v>2024</v>
      </c>
      <c r="J1116" s="208">
        <v>3662</v>
      </c>
      <c r="K1116" s="159"/>
      <c r="L1116" s="204" t="s">
        <v>942</v>
      </c>
      <c r="N1116" s="141">
        <f t="shared" si="36"/>
        <v>860</v>
      </c>
    </row>
    <row r="1117" spans="1:14" ht="15">
      <c r="A1117" s="159"/>
      <c r="B1117" s="143" t="str">
        <f t="shared" si="35"/>
        <v>861.</v>
      </c>
      <c r="C1117" s="205" t="s">
        <v>938</v>
      </c>
      <c r="D1117" s="162"/>
      <c r="E1117" s="163"/>
      <c r="F1117" s="159"/>
      <c r="G1117" s="164"/>
      <c r="H1117" s="204" t="s">
        <v>940</v>
      </c>
      <c r="I1117" s="211">
        <v>2024</v>
      </c>
      <c r="J1117" s="208">
        <v>4200</v>
      </c>
      <c r="K1117" s="159"/>
      <c r="L1117" s="204" t="s">
        <v>942</v>
      </c>
      <c r="N1117" s="141">
        <f t="shared" si="36"/>
        <v>861</v>
      </c>
    </row>
    <row r="1118" spans="1:14" ht="15">
      <c r="A1118" s="159"/>
      <c r="B1118" s="143" t="str">
        <f t="shared" si="35"/>
        <v>862.</v>
      </c>
      <c r="C1118" s="205" t="s">
        <v>938</v>
      </c>
      <c r="D1118" s="162"/>
      <c r="E1118" s="163"/>
      <c r="F1118" s="159"/>
      <c r="G1118" s="164"/>
      <c r="H1118" s="204" t="s">
        <v>940</v>
      </c>
      <c r="I1118" s="211">
        <v>2024</v>
      </c>
      <c r="J1118" s="208">
        <v>3662</v>
      </c>
      <c r="K1118" s="159"/>
      <c r="L1118" s="204" t="s">
        <v>942</v>
      </c>
      <c r="N1118" s="141">
        <f t="shared" si="36"/>
        <v>862</v>
      </c>
    </row>
    <row r="1119" spans="1:14" ht="15">
      <c r="A1119" s="159"/>
      <c r="B1119" s="143" t="str">
        <f t="shared" si="35"/>
        <v>863.</v>
      </c>
      <c r="C1119" s="205" t="s">
        <v>938</v>
      </c>
      <c r="D1119" s="162"/>
      <c r="E1119" s="163"/>
      <c r="F1119" s="159"/>
      <c r="G1119" s="164"/>
      <c r="H1119" s="204" t="s">
        <v>940</v>
      </c>
      <c r="I1119" s="211">
        <v>2024</v>
      </c>
      <c r="J1119" s="208">
        <v>3662</v>
      </c>
      <c r="K1119" s="159"/>
      <c r="L1119" s="204" t="s">
        <v>942</v>
      </c>
      <c r="N1119" s="141">
        <f t="shared" si="36"/>
        <v>863</v>
      </c>
    </row>
    <row r="1120" spans="1:14" ht="15">
      <c r="A1120" s="159"/>
      <c r="B1120" s="143" t="str">
        <f t="shared" si="35"/>
        <v>864.</v>
      </c>
      <c r="C1120" s="205" t="s">
        <v>938</v>
      </c>
      <c r="D1120" s="162"/>
      <c r="E1120" s="163"/>
      <c r="F1120" s="159"/>
      <c r="G1120" s="164"/>
      <c r="H1120" s="204" t="s">
        <v>940</v>
      </c>
      <c r="I1120" s="211">
        <v>2024</v>
      </c>
      <c r="J1120" s="208">
        <v>4200</v>
      </c>
      <c r="K1120" s="159"/>
      <c r="L1120" s="204" t="s">
        <v>942</v>
      </c>
      <c r="N1120" s="141">
        <f t="shared" si="36"/>
        <v>864</v>
      </c>
    </row>
    <row r="1121" spans="1:14" ht="15">
      <c r="A1121" s="159"/>
      <c r="B1121" s="143" t="str">
        <f t="shared" si="35"/>
        <v>865.</v>
      </c>
      <c r="C1121" s="205" t="s">
        <v>938</v>
      </c>
      <c r="D1121" s="162"/>
      <c r="E1121" s="163"/>
      <c r="F1121" s="159"/>
      <c r="G1121" s="164"/>
      <c r="H1121" s="204" t="s">
        <v>940</v>
      </c>
      <c r="I1121" s="211">
        <v>2024</v>
      </c>
      <c r="J1121" s="208">
        <v>3662</v>
      </c>
      <c r="K1121" s="159"/>
      <c r="L1121" s="204" t="s">
        <v>942</v>
      </c>
      <c r="N1121" s="141">
        <f t="shared" si="36"/>
        <v>865</v>
      </c>
    </row>
    <row r="1122" spans="1:14" ht="15">
      <c r="A1122" s="159"/>
      <c r="B1122" s="143" t="str">
        <f t="shared" si="35"/>
        <v>866.</v>
      </c>
      <c r="C1122" s="205" t="s">
        <v>938</v>
      </c>
      <c r="D1122" s="162"/>
      <c r="E1122" s="163"/>
      <c r="F1122" s="159"/>
      <c r="G1122" s="164"/>
      <c r="H1122" s="204" t="s">
        <v>940</v>
      </c>
      <c r="I1122" s="211">
        <v>2024</v>
      </c>
      <c r="J1122" s="208">
        <v>3662</v>
      </c>
      <c r="K1122" s="159"/>
      <c r="L1122" s="204" t="s">
        <v>942</v>
      </c>
      <c r="N1122" s="141">
        <f t="shared" si="36"/>
        <v>866</v>
      </c>
    </row>
    <row r="1123" spans="1:14" ht="15">
      <c r="A1123" s="159"/>
      <c r="B1123" s="143" t="str">
        <f t="shared" si="35"/>
        <v>867.</v>
      </c>
      <c r="C1123" s="205" t="s">
        <v>938</v>
      </c>
      <c r="D1123" s="162"/>
      <c r="E1123" s="163"/>
      <c r="F1123" s="159"/>
      <c r="G1123" s="164"/>
      <c r="H1123" s="204" t="s">
        <v>940</v>
      </c>
      <c r="I1123" s="211">
        <v>2024</v>
      </c>
      <c r="J1123" s="208">
        <v>3662</v>
      </c>
      <c r="K1123" s="159"/>
      <c r="L1123" s="204" t="s">
        <v>942</v>
      </c>
      <c r="N1123" s="141">
        <f t="shared" si="36"/>
        <v>867</v>
      </c>
    </row>
    <row r="1124" spans="1:14" ht="15">
      <c r="A1124" s="159"/>
      <c r="B1124" s="143" t="str">
        <f t="shared" si="35"/>
        <v>868.</v>
      </c>
      <c r="C1124" s="205" t="s">
        <v>938</v>
      </c>
      <c r="D1124" s="162"/>
      <c r="E1124" s="163"/>
      <c r="F1124" s="159"/>
      <c r="G1124" s="164"/>
      <c r="H1124" s="204" t="s">
        <v>940</v>
      </c>
      <c r="I1124" s="211">
        <v>2024</v>
      </c>
      <c r="J1124" s="208">
        <v>3662</v>
      </c>
      <c r="K1124" s="159"/>
      <c r="L1124" s="204" t="s">
        <v>942</v>
      </c>
      <c r="N1124" s="141">
        <f t="shared" si="36"/>
        <v>868</v>
      </c>
    </row>
    <row r="1125" spans="1:14" ht="15">
      <c r="A1125" s="159"/>
      <c r="B1125" s="143" t="str">
        <f t="shared" si="35"/>
        <v>869.</v>
      </c>
      <c r="C1125" s="205" t="s">
        <v>938</v>
      </c>
      <c r="D1125" s="162"/>
      <c r="E1125" s="163"/>
      <c r="F1125" s="159"/>
      <c r="G1125" s="164"/>
      <c r="H1125" s="204" t="s">
        <v>940</v>
      </c>
      <c r="I1125" s="211">
        <v>2024</v>
      </c>
      <c r="J1125" s="208">
        <v>3662</v>
      </c>
      <c r="K1125" s="159"/>
      <c r="L1125" s="204" t="s">
        <v>942</v>
      </c>
      <c r="N1125" s="141">
        <f t="shared" si="36"/>
        <v>869</v>
      </c>
    </row>
    <row r="1126" spans="1:14" ht="15">
      <c r="A1126" s="159"/>
      <c r="B1126" s="143" t="str">
        <f t="shared" si="35"/>
        <v>870.</v>
      </c>
      <c r="C1126" s="205" t="s">
        <v>938</v>
      </c>
      <c r="D1126" s="162"/>
      <c r="E1126" s="163"/>
      <c r="F1126" s="159"/>
      <c r="G1126" s="164"/>
      <c r="H1126" s="204" t="s">
        <v>940</v>
      </c>
      <c r="I1126" s="211">
        <v>2024</v>
      </c>
      <c r="J1126" s="208">
        <v>3662</v>
      </c>
      <c r="K1126" s="159"/>
      <c r="L1126" s="204" t="s">
        <v>942</v>
      </c>
      <c r="N1126" s="141">
        <f t="shared" si="36"/>
        <v>870</v>
      </c>
    </row>
    <row r="1127" spans="1:14" ht="15">
      <c r="A1127" s="159"/>
      <c r="B1127" s="143" t="str">
        <f t="shared" si="35"/>
        <v>871.</v>
      </c>
      <c r="C1127" s="205" t="s">
        <v>938</v>
      </c>
      <c r="D1127" s="162"/>
      <c r="E1127" s="163"/>
      <c r="F1127" s="159"/>
      <c r="G1127" s="164"/>
      <c r="H1127" s="204" t="s">
        <v>940</v>
      </c>
      <c r="I1127" s="211">
        <v>2024</v>
      </c>
      <c r="J1127" s="208">
        <v>4737</v>
      </c>
      <c r="K1127" s="159"/>
      <c r="L1127" s="204" t="s">
        <v>942</v>
      </c>
      <c r="N1127" s="141">
        <f t="shared" si="36"/>
        <v>871</v>
      </c>
    </row>
    <row r="1128" spans="1:14" ht="15">
      <c r="A1128" s="159"/>
      <c r="B1128" s="143" t="str">
        <f t="shared" si="35"/>
        <v>872.</v>
      </c>
      <c r="C1128" s="205" t="s">
        <v>938</v>
      </c>
      <c r="D1128" s="162"/>
      <c r="E1128" s="163"/>
      <c r="F1128" s="159"/>
      <c r="G1128" s="164"/>
      <c r="H1128" s="204" t="s">
        <v>940</v>
      </c>
      <c r="I1128" s="211">
        <v>2024</v>
      </c>
      <c r="J1128" s="208">
        <v>4200</v>
      </c>
      <c r="K1128" s="159"/>
      <c r="L1128" s="204" t="s">
        <v>942</v>
      </c>
      <c r="N1128" s="141">
        <f t="shared" si="36"/>
        <v>872</v>
      </c>
    </row>
    <row r="1129" spans="1:14" ht="15">
      <c r="A1129" s="159"/>
      <c r="B1129" s="143" t="str">
        <f t="shared" si="35"/>
        <v>873.</v>
      </c>
      <c r="C1129" s="205" t="s">
        <v>938</v>
      </c>
      <c r="D1129" s="162"/>
      <c r="E1129" s="163"/>
      <c r="F1129" s="159"/>
      <c r="G1129" s="164"/>
      <c r="H1129" s="204" t="s">
        <v>940</v>
      </c>
      <c r="I1129" s="211">
        <v>2024</v>
      </c>
      <c r="J1129" s="208">
        <v>3662</v>
      </c>
      <c r="K1129" s="159"/>
      <c r="L1129" s="204" t="s">
        <v>942</v>
      </c>
      <c r="N1129" s="141">
        <f t="shared" si="36"/>
        <v>873</v>
      </c>
    </row>
    <row r="1130" spans="1:14" ht="15">
      <c r="A1130" s="159"/>
      <c r="B1130" s="143" t="str">
        <f t="shared" si="35"/>
        <v>874.</v>
      </c>
      <c r="C1130" s="205" t="s">
        <v>938</v>
      </c>
      <c r="D1130" s="162"/>
      <c r="E1130" s="163"/>
      <c r="F1130" s="159"/>
      <c r="G1130" s="164"/>
      <c r="H1130" s="204" t="s">
        <v>940</v>
      </c>
      <c r="I1130" s="211">
        <v>2024</v>
      </c>
      <c r="J1130" s="208">
        <v>3662</v>
      </c>
      <c r="K1130" s="159"/>
      <c r="L1130" s="204" t="s">
        <v>942</v>
      </c>
      <c r="N1130" s="141">
        <f t="shared" si="36"/>
        <v>874</v>
      </c>
    </row>
    <row r="1131" spans="1:14" ht="15">
      <c r="A1131" s="159"/>
      <c r="B1131" s="143" t="str">
        <f t="shared" si="35"/>
        <v>875.</v>
      </c>
      <c r="C1131" s="205" t="s">
        <v>938</v>
      </c>
      <c r="D1131" s="162"/>
      <c r="E1131" s="163"/>
      <c r="F1131" s="159"/>
      <c r="G1131" s="164"/>
      <c r="H1131" s="204" t="s">
        <v>940</v>
      </c>
      <c r="I1131" s="211">
        <v>2024</v>
      </c>
      <c r="J1131" s="208">
        <v>3662</v>
      </c>
      <c r="K1131" s="159"/>
      <c r="L1131" s="204" t="s">
        <v>942</v>
      </c>
      <c r="N1131" s="141">
        <f t="shared" si="36"/>
        <v>875</v>
      </c>
    </row>
    <row r="1132" spans="1:14" ht="15">
      <c r="A1132" s="159"/>
      <c r="B1132" s="143" t="str">
        <f t="shared" si="35"/>
        <v>876.</v>
      </c>
      <c r="C1132" s="205" t="s">
        <v>938</v>
      </c>
      <c r="D1132" s="162"/>
      <c r="E1132" s="163"/>
      <c r="F1132" s="159"/>
      <c r="G1132" s="164"/>
      <c r="H1132" s="204" t="s">
        <v>940</v>
      </c>
      <c r="I1132" s="211">
        <v>2024</v>
      </c>
      <c r="J1132" s="208">
        <v>4737</v>
      </c>
      <c r="K1132" s="159"/>
      <c r="L1132" s="204" t="s">
        <v>942</v>
      </c>
      <c r="N1132" s="141">
        <f t="shared" si="36"/>
        <v>876</v>
      </c>
    </row>
    <row r="1133" spans="1:14" ht="15">
      <c r="A1133" s="159"/>
      <c r="B1133" s="143" t="str">
        <f t="shared" si="35"/>
        <v>877.</v>
      </c>
      <c r="C1133" s="205" t="s">
        <v>938</v>
      </c>
      <c r="D1133" s="162"/>
      <c r="E1133" s="163"/>
      <c r="F1133" s="159"/>
      <c r="G1133" s="164"/>
      <c r="H1133" s="204" t="s">
        <v>940</v>
      </c>
      <c r="I1133" s="211">
        <v>2024</v>
      </c>
      <c r="J1133" s="208">
        <v>3662</v>
      </c>
      <c r="K1133" s="159"/>
      <c r="L1133" s="204" t="s">
        <v>942</v>
      </c>
      <c r="N1133" s="141">
        <f t="shared" si="36"/>
        <v>877</v>
      </c>
    </row>
    <row r="1134" spans="1:14" ht="15">
      <c r="A1134" s="159"/>
      <c r="B1134" s="143" t="str">
        <f t="shared" si="35"/>
        <v>878.</v>
      </c>
      <c r="C1134" s="205" t="s">
        <v>938</v>
      </c>
      <c r="D1134" s="162"/>
      <c r="E1134" s="163"/>
      <c r="F1134" s="159"/>
      <c r="G1134" s="164"/>
      <c r="H1134" s="204" t="s">
        <v>940</v>
      </c>
      <c r="I1134" s="211">
        <v>2024</v>
      </c>
      <c r="J1134" s="208">
        <v>3662</v>
      </c>
      <c r="K1134" s="159"/>
      <c r="L1134" s="204" t="s">
        <v>942</v>
      </c>
      <c r="N1134" s="141">
        <f t="shared" si="36"/>
        <v>878</v>
      </c>
    </row>
    <row r="1135" spans="1:14" ht="15">
      <c r="A1135" s="159"/>
      <c r="B1135" s="143" t="str">
        <f t="shared" si="35"/>
        <v>879.</v>
      </c>
      <c r="C1135" s="205" t="s">
        <v>938</v>
      </c>
      <c r="D1135" s="162"/>
      <c r="E1135" s="163"/>
      <c r="F1135" s="159"/>
      <c r="G1135" s="164"/>
      <c r="H1135" s="204" t="s">
        <v>940</v>
      </c>
      <c r="I1135" s="211">
        <v>2024</v>
      </c>
      <c r="J1135" s="208">
        <v>3662</v>
      </c>
      <c r="K1135" s="159"/>
      <c r="L1135" s="204" t="s">
        <v>942</v>
      </c>
      <c r="N1135" s="141">
        <f t="shared" si="36"/>
        <v>879</v>
      </c>
    </row>
    <row r="1136" spans="1:14" ht="15">
      <c r="A1136" s="159"/>
      <c r="B1136" s="143" t="str">
        <f t="shared" si="35"/>
        <v>880.</v>
      </c>
      <c r="C1136" s="205" t="s">
        <v>938</v>
      </c>
      <c r="D1136" s="162"/>
      <c r="E1136" s="163"/>
      <c r="F1136" s="159"/>
      <c r="G1136" s="164"/>
      <c r="H1136" s="204" t="s">
        <v>940</v>
      </c>
      <c r="I1136" s="211">
        <v>2024</v>
      </c>
      <c r="J1136" s="208">
        <v>4200</v>
      </c>
      <c r="K1136" s="159"/>
      <c r="L1136" s="204" t="s">
        <v>942</v>
      </c>
      <c r="N1136" s="141">
        <f t="shared" si="36"/>
        <v>880</v>
      </c>
    </row>
    <row r="1137" spans="1:14" ht="15">
      <c r="A1137" s="159"/>
      <c r="B1137" s="143" t="str">
        <f t="shared" si="35"/>
        <v>881.</v>
      </c>
      <c r="C1137" s="205" t="s">
        <v>938</v>
      </c>
      <c r="D1137" s="162"/>
      <c r="E1137" s="163"/>
      <c r="F1137" s="159"/>
      <c r="G1137" s="164"/>
      <c r="H1137" s="204" t="s">
        <v>940</v>
      </c>
      <c r="I1137" s="211">
        <v>2024</v>
      </c>
      <c r="J1137" s="208">
        <v>3662</v>
      </c>
      <c r="K1137" s="159"/>
      <c r="L1137" s="204" t="s">
        <v>942</v>
      </c>
      <c r="N1137" s="141">
        <f t="shared" si="36"/>
        <v>881</v>
      </c>
    </row>
    <row r="1138" spans="1:14" ht="15">
      <c r="A1138" s="159"/>
      <c r="B1138" s="143" t="str">
        <f t="shared" si="35"/>
        <v>882.</v>
      </c>
      <c r="C1138" s="205" t="s">
        <v>938</v>
      </c>
      <c r="D1138" s="162"/>
      <c r="E1138" s="163"/>
      <c r="F1138" s="159"/>
      <c r="G1138" s="164"/>
      <c r="H1138" s="204" t="s">
        <v>940</v>
      </c>
      <c r="I1138" s="211">
        <v>2024</v>
      </c>
      <c r="J1138" s="208">
        <v>3662</v>
      </c>
      <c r="K1138" s="159"/>
      <c r="L1138" s="204" t="s">
        <v>942</v>
      </c>
      <c r="N1138" s="141">
        <f t="shared" si="36"/>
        <v>882</v>
      </c>
    </row>
    <row r="1139" spans="1:14" ht="15">
      <c r="A1139" s="159"/>
      <c r="B1139" s="143" t="str">
        <f t="shared" si="35"/>
        <v>883.</v>
      </c>
      <c r="C1139" s="205" t="s">
        <v>938</v>
      </c>
      <c r="D1139" s="162"/>
      <c r="E1139" s="163"/>
      <c r="F1139" s="159"/>
      <c r="G1139" s="164"/>
      <c r="H1139" s="204" t="s">
        <v>940</v>
      </c>
      <c r="I1139" s="211">
        <v>2024</v>
      </c>
      <c r="J1139" s="208">
        <v>3662</v>
      </c>
      <c r="K1139" s="159"/>
      <c r="L1139" s="204" t="s">
        <v>942</v>
      </c>
      <c r="N1139" s="141">
        <f t="shared" si="36"/>
        <v>883</v>
      </c>
    </row>
    <row r="1140" spans="1:14" ht="15">
      <c r="A1140" s="159"/>
      <c r="B1140" s="143" t="str">
        <f t="shared" si="35"/>
        <v>884.</v>
      </c>
      <c r="C1140" s="205" t="s">
        <v>938</v>
      </c>
      <c r="D1140" s="162"/>
      <c r="E1140" s="163"/>
      <c r="F1140" s="159"/>
      <c r="G1140" s="164"/>
      <c r="H1140" s="204" t="s">
        <v>940</v>
      </c>
      <c r="I1140" s="211">
        <v>2024</v>
      </c>
      <c r="J1140" s="208">
        <v>3662</v>
      </c>
      <c r="K1140" s="159"/>
      <c r="L1140" s="204" t="s">
        <v>942</v>
      </c>
      <c r="N1140" s="141">
        <f t="shared" si="36"/>
        <v>884</v>
      </c>
    </row>
    <row r="1141" spans="1:14" ht="15">
      <c r="A1141" s="159"/>
      <c r="B1141" s="143" t="str">
        <f t="shared" si="35"/>
        <v>885.</v>
      </c>
      <c r="C1141" s="205" t="s">
        <v>938</v>
      </c>
      <c r="D1141" s="162"/>
      <c r="E1141" s="163"/>
      <c r="F1141" s="159"/>
      <c r="G1141" s="164"/>
      <c r="H1141" s="204" t="s">
        <v>940</v>
      </c>
      <c r="I1141" s="211">
        <v>2024</v>
      </c>
      <c r="J1141" s="208">
        <v>3662</v>
      </c>
      <c r="K1141" s="159"/>
      <c r="L1141" s="204" t="s">
        <v>942</v>
      </c>
      <c r="N1141" s="141">
        <f t="shared" si="36"/>
        <v>885</v>
      </c>
    </row>
    <row r="1142" spans="1:14" ht="15">
      <c r="A1142" s="159"/>
      <c r="B1142" s="143" t="str">
        <f t="shared" si="35"/>
        <v>886.</v>
      </c>
      <c r="C1142" s="205" t="s">
        <v>938</v>
      </c>
      <c r="D1142" s="162"/>
      <c r="E1142" s="163"/>
      <c r="F1142" s="159"/>
      <c r="G1142" s="164"/>
      <c r="H1142" s="204" t="s">
        <v>940</v>
      </c>
      <c r="I1142" s="211">
        <v>2024</v>
      </c>
      <c r="J1142" s="208">
        <v>3662</v>
      </c>
      <c r="K1142" s="159"/>
      <c r="L1142" s="204" t="s">
        <v>942</v>
      </c>
      <c r="N1142" s="141">
        <f t="shared" si="36"/>
        <v>886</v>
      </c>
    </row>
    <row r="1143" spans="1:14" ht="15">
      <c r="A1143" s="159"/>
      <c r="B1143" s="143" t="str">
        <f t="shared" si="35"/>
        <v>887.</v>
      </c>
      <c r="C1143" s="205" t="s">
        <v>938</v>
      </c>
      <c r="D1143" s="162"/>
      <c r="E1143" s="163"/>
      <c r="F1143" s="159"/>
      <c r="G1143" s="164"/>
      <c r="H1143" s="204" t="s">
        <v>940</v>
      </c>
      <c r="I1143" s="211">
        <v>2024</v>
      </c>
      <c r="J1143" s="208">
        <v>3662</v>
      </c>
      <c r="K1143" s="159"/>
      <c r="L1143" s="204" t="s">
        <v>942</v>
      </c>
      <c r="N1143" s="141">
        <f t="shared" si="36"/>
        <v>887</v>
      </c>
    </row>
    <row r="1144" spans="1:14" ht="15">
      <c r="A1144" s="159"/>
      <c r="B1144" s="143" t="str">
        <f t="shared" si="35"/>
        <v>888.</v>
      </c>
      <c r="C1144" s="205" t="s">
        <v>938</v>
      </c>
      <c r="D1144" s="162"/>
      <c r="E1144" s="163"/>
      <c r="F1144" s="159"/>
      <c r="G1144" s="164"/>
      <c r="H1144" s="204" t="s">
        <v>940</v>
      </c>
      <c r="I1144" s="211">
        <v>2024</v>
      </c>
      <c r="J1144" s="208">
        <v>3662</v>
      </c>
      <c r="K1144" s="159"/>
      <c r="L1144" s="204" t="s">
        <v>942</v>
      </c>
      <c r="N1144" s="141">
        <f t="shared" si="36"/>
        <v>888</v>
      </c>
    </row>
    <row r="1145" spans="1:14" ht="15">
      <c r="A1145" s="159"/>
      <c r="B1145" s="143" t="str">
        <f t="shared" si="35"/>
        <v>889.</v>
      </c>
      <c r="C1145" s="205" t="s">
        <v>938</v>
      </c>
      <c r="D1145" s="162"/>
      <c r="E1145" s="163"/>
      <c r="F1145" s="159"/>
      <c r="G1145" s="164"/>
      <c r="H1145" s="204" t="s">
        <v>940</v>
      </c>
      <c r="I1145" s="211">
        <v>2024</v>
      </c>
      <c r="J1145" s="208">
        <v>3662</v>
      </c>
      <c r="K1145" s="159"/>
      <c r="L1145" s="204" t="s">
        <v>942</v>
      </c>
      <c r="N1145" s="141">
        <f t="shared" si="36"/>
        <v>889</v>
      </c>
    </row>
    <row r="1146" spans="1:14" ht="15">
      <c r="A1146" s="159"/>
      <c r="B1146" s="143" t="str">
        <f t="shared" si="35"/>
        <v>890.</v>
      </c>
      <c r="C1146" s="205" t="s">
        <v>938</v>
      </c>
      <c r="D1146" s="162"/>
      <c r="E1146" s="163"/>
      <c r="F1146" s="159"/>
      <c r="G1146" s="164"/>
      <c r="H1146" s="204" t="s">
        <v>940</v>
      </c>
      <c r="I1146" s="211">
        <v>2024</v>
      </c>
      <c r="J1146" s="208">
        <v>3662</v>
      </c>
      <c r="K1146" s="159"/>
      <c r="L1146" s="204" t="s">
        <v>942</v>
      </c>
      <c r="N1146" s="141">
        <f t="shared" si="36"/>
        <v>890</v>
      </c>
    </row>
    <row r="1147" spans="1:14" ht="15">
      <c r="A1147" s="159"/>
      <c r="B1147" s="143" t="str">
        <f t="shared" si="35"/>
        <v>891.</v>
      </c>
      <c r="C1147" s="205" t="s">
        <v>938</v>
      </c>
      <c r="D1147" s="162"/>
      <c r="E1147" s="163"/>
      <c r="F1147" s="159"/>
      <c r="G1147" s="164"/>
      <c r="H1147" s="204" t="s">
        <v>940</v>
      </c>
      <c r="I1147" s="211">
        <v>2024</v>
      </c>
      <c r="J1147" s="208">
        <v>5247</v>
      </c>
      <c r="K1147" s="159"/>
      <c r="L1147" s="204" t="s">
        <v>942</v>
      </c>
      <c r="N1147" s="141">
        <f t="shared" si="36"/>
        <v>891</v>
      </c>
    </row>
    <row r="1148" spans="1:14" ht="15">
      <c r="A1148" s="159"/>
      <c r="B1148" s="143" t="str">
        <f t="shared" si="35"/>
        <v>892.</v>
      </c>
      <c r="C1148" s="205" t="s">
        <v>938</v>
      </c>
      <c r="D1148" s="162"/>
      <c r="E1148" s="163"/>
      <c r="F1148" s="159"/>
      <c r="G1148" s="164"/>
      <c r="H1148" s="204" t="s">
        <v>940</v>
      </c>
      <c r="I1148" s="211">
        <v>2024</v>
      </c>
      <c r="J1148" s="208">
        <v>3662</v>
      </c>
      <c r="K1148" s="159"/>
      <c r="L1148" s="204" t="s">
        <v>942</v>
      </c>
      <c r="N1148" s="141">
        <f t="shared" si="36"/>
        <v>892</v>
      </c>
    </row>
    <row r="1149" spans="1:14" ht="15">
      <c r="A1149" s="159"/>
      <c r="B1149" s="143" t="str">
        <f t="shared" si="35"/>
        <v>893.</v>
      </c>
      <c r="C1149" s="205" t="s">
        <v>938</v>
      </c>
      <c r="D1149" s="162"/>
      <c r="E1149" s="163"/>
      <c r="F1149" s="159"/>
      <c r="G1149" s="164"/>
      <c r="H1149" s="204" t="s">
        <v>940</v>
      </c>
      <c r="I1149" s="211">
        <v>2024</v>
      </c>
      <c r="J1149" s="208">
        <v>4200</v>
      </c>
      <c r="K1149" s="159"/>
      <c r="L1149" s="204" t="s">
        <v>942</v>
      </c>
      <c r="N1149" s="141">
        <f t="shared" si="36"/>
        <v>893</v>
      </c>
    </row>
    <row r="1150" spans="1:14" ht="15">
      <c r="A1150" s="159"/>
      <c r="B1150" s="143" t="str">
        <f t="shared" si="35"/>
        <v>894.</v>
      </c>
      <c r="C1150" s="205" t="s">
        <v>938</v>
      </c>
      <c r="D1150" s="162"/>
      <c r="E1150" s="163"/>
      <c r="F1150" s="159"/>
      <c r="G1150" s="164"/>
      <c r="H1150" s="204" t="s">
        <v>940</v>
      </c>
      <c r="I1150" s="211">
        <v>2024</v>
      </c>
      <c r="J1150" s="208">
        <v>3662</v>
      </c>
      <c r="K1150" s="159"/>
      <c r="L1150" s="204" t="s">
        <v>942</v>
      </c>
      <c r="N1150" s="141">
        <f t="shared" si="36"/>
        <v>894</v>
      </c>
    </row>
    <row r="1151" spans="1:14" ht="15">
      <c r="A1151" s="159"/>
      <c r="B1151" s="143" t="str">
        <f t="shared" si="35"/>
        <v>895.</v>
      </c>
      <c r="C1151" s="205" t="s">
        <v>938</v>
      </c>
      <c r="D1151" s="162"/>
      <c r="E1151" s="163"/>
      <c r="F1151" s="159"/>
      <c r="G1151" s="164"/>
      <c r="H1151" s="204" t="s">
        <v>940</v>
      </c>
      <c r="I1151" s="211">
        <v>2024</v>
      </c>
      <c r="J1151" s="208">
        <v>4200</v>
      </c>
      <c r="K1151" s="159"/>
      <c r="L1151" s="204" t="s">
        <v>942</v>
      </c>
      <c r="N1151" s="141">
        <f t="shared" si="36"/>
        <v>895</v>
      </c>
    </row>
    <row r="1152" spans="1:14" ht="15">
      <c r="A1152" s="159"/>
      <c r="B1152" s="143" t="str">
        <f t="shared" si="35"/>
        <v>896.</v>
      </c>
      <c r="C1152" s="205" t="s">
        <v>938</v>
      </c>
      <c r="D1152" s="162"/>
      <c r="E1152" s="163"/>
      <c r="F1152" s="159"/>
      <c r="G1152" s="164"/>
      <c r="H1152" s="204" t="s">
        <v>940</v>
      </c>
      <c r="I1152" s="211">
        <v>2024</v>
      </c>
      <c r="J1152" s="208">
        <v>3662</v>
      </c>
      <c r="K1152" s="159"/>
      <c r="L1152" s="204" t="s">
        <v>942</v>
      </c>
      <c r="N1152" s="141">
        <f t="shared" si="36"/>
        <v>896</v>
      </c>
    </row>
    <row r="1153" spans="1:14" ht="15">
      <c r="A1153" s="159"/>
      <c r="B1153" s="143" t="str">
        <f t="shared" ref="B1153:B1216" si="37">N1153&amp;"."</f>
        <v>897.</v>
      </c>
      <c r="C1153" s="205" t="s">
        <v>938</v>
      </c>
      <c r="D1153" s="162"/>
      <c r="E1153" s="163"/>
      <c r="F1153" s="159"/>
      <c r="G1153" s="164"/>
      <c r="H1153" s="204" t="s">
        <v>940</v>
      </c>
      <c r="I1153" s="211">
        <v>2024</v>
      </c>
      <c r="J1153" s="208">
        <v>3662</v>
      </c>
      <c r="K1153" s="159"/>
      <c r="L1153" s="204" t="s">
        <v>942</v>
      </c>
      <c r="N1153" s="141">
        <f t="shared" si="36"/>
        <v>897</v>
      </c>
    </row>
    <row r="1154" spans="1:14" ht="15">
      <c r="A1154" s="159"/>
      <c r="B1154" s="143" t="str">
        <f t="shared" si="37"/>
        <v>898.</v>
      </c>
      <c r="C1154" s="205" t="s">
        <v>938</v>
      </c>
      <c r="D1154" s="162"/>
      <c r="E1154" s="163"/>
      <c r="F1154" s="159"/>
      <c r="G1154" s="164"/>
      <c r="H1154" s="204" t="s">
        <v>940</v>
      </c>
      <c r="I1154" s="211">
        <v>2024</v>
      </c>
      <c r="J1154" s="208">
        <v>3662</v>
      </c>
      <c r="K1154" s="159"/>
      <c r="L1154" s="204" t="s">
        <v>942</v>
      </c>
      <c r="N1154" s="141">
        <f t="shared" si="36"/>
        <v>898</v>
      </c>
    </row>
    <row r="1155" spans="1:14" ht="15">
      <c r="A1155" s="159"/>
      <c r="B1155" s="143" t="str">
        <f t="shared" si="37"/>
        <v>899.</v>
      </c>
      <c r="C1155" s="205" t="s">
        <v>938</v>
      </c>
      <c r="D1155" s="162"/>
      <c r="E1155" s="163"/>
      <c r="F1155" s="159"/>
      <c r="G1155" s="164"/>
      <c r="H1155" s="204" t="s">
        <v>940</v>
      </c>
      <c r="I1155" s="211">
        <v>2024</v>
      </c>
      <c r="J1155" s="208">
        <v>4200</v>
      </c>
      <c r="K1155" s="159"/>
      <c r="L1155" s="204" t="s">
        <v>942</v>
      </c>
      <c r="N1155" s="141">
        <f t="shared" ref="N1155:N1218" si="38">N1154+1</f>
        <v>899</v>
      </c>
    </row>
    <row r="1156" spans="1:14" ht="15">
      <c r="A1156" s="159"/>
      <c r="B1156" s="143" t="str">
        <f t="shared" si="37"/>
        <v>900.</v>
      </c>
      <c r="C1156" s="205" t="s">
        <v>938</v>
      </c>
      <c r="D1156" s="162"/>
      <c r="E1156" s="163"/>
      <c r="F1156" s="159"/>
      <c r="G1156" s="164"/>
      <c r="H1156" s="204" t="s">
        <v>940</v>
      </c>
      <c r="I1156" s="211">
        <v>2024</v>
      </c>
      <c r="J1156" s="208">
        <v>4737</v>
      </c>
      <c r="K1156" s="159"/>
      <c r="L1156" s="204" t="s">
        <v>942</v>
      </c>
      <c r="N1156" s="141">
        <f t="shared" si="38"/>
        <v>900</v>
      </c>
    </row>
    <row r="1157" spans="1:14" ht="15">
      <c r="A1157" s="159"/>
      <c r="B1157" s="143" t="str">
        <f t="shared" si="37"/>
        <v>901.</v>
      </c>
      <c r="C1157" s="205" t="s">
        <v>938</v>
      </c>
      <c r="D1157" s="162"/>
      <c r="E1157" s="163"/>
      <c r="F1157" s="159"/>
      <c r="G1157" s="164"/>
      <c r="H1157" s="204" t="s">
        <v>940</v>
      </c>
      <c r="I1157" s="211">
        <v>2024</v>
      </c>
      <c r="J1157" s="208">
        <v>3662</v>
      </c>
      <c r="K1157" s="159"/>
      <c r="L1157" s="204" t="s">
        <v>942</v>
      </c>
      <c r="N1157" s="141">
        <f t="shared" si="38"/>
        <v>901</v>
      </c>
    </row>
    <row r="1158" spans="1:14" ht="15">
      <c r="A1158" s="159"/>
      <c r="B1158" s="143" t="str">
        <f t="shared" si="37"/>
        <v>902.</v>
      </c>
      <c r="C1158" s="205" t="s">
        <v>938</v>
      </c>
      <c r="D1158" s="162"/>
      <c r="E1158" s="163"/>
      <c r="F1158" s="159"/>
      <c r="G1158" s="164"/>
      <c r="H1158" s="204" t="s">
        <v>940</v>
      </c>
      <c r="I1158" s="211">
        <v>2024</v>
      </c>
      <c r="J1158" s="208">
        <v>3372</v>
      </c>
      <c r="K1158" s="159"/>
      <c r="L1158" s="204" t="s">
        <v>942</v>
      </c>
      <c r="N1158" s="141">
        <f t="shared" si="38"/>
        <v>902</v>
      </c>
    </row>
    <row r="1159" spans="1:14" ht="15">
      <c r="A1159" s="159"/>
      <c r="B1159" s="143" t="str">
        <f t="shared" si="37"/>
        <v>903.</v>
      </c>
      <c r="C1159" s="205" t="s">
        <v>938</v>
      </c>
      <c r="D1159" s="162"/>
      <c r="E1159" s="163"/>
      <c r="F1159" s="159"/>
      <c r="G1159" s="164"/>
      <c r="H1159" s="204" t="s">
        <v>940</v>
      </c>
      <c r="I1159" s="211">
        <v>2024</v>
      </c>
      <c r="J1159" s="208">
        <v>4200</v>
      </c>
      <c r="K1159" s="159"/>
      <c r="L1159" s="204" t="s">
        <v>942</v>
      </c>
      <c r="N1159" s="141">
        <f t="shared" si="38"/>
        <v>903</v>
      </c>
    </row>
    <row r="1160" spans="1:14" ht="15">
      <c r="A1160" s="159"/>
      <c r="B1160" s="143" t="str">
        <f t="shared" si="37"/>
        <v>904.</v>
      </c>
      <c r="C1160" s="205" t="s">
        <v>938</v>
      </c>
      <c r="D1160" s="162"/>
      <c r="E1160" s="163"/>
      <c r="F1160" s="159"/>
      <c r="G1160" s="164"/>
      <c r="H1160" s="204" t="s">
        <v>940</v>
      </c>
      <c r="I1160" s="211">
        <v>2024</v>
      </c>
      <c r="J1160" s="208">
        <v>3662</v>
      </c>
      <c r="K1160" s="159"/>
      <c r="L1160" s="204" t="s">
        <v>942</v>
      </c>
      <c r="N1160" s="141">
        <f t="shared" si="38"/>
        <v>904</v>
      </c>
    </row>
    <row r="1161" spans="1:14" ht="15">
      <c r="A1161" s="159"/>
      <c r="B1161" s="143" t="str">
        <f t="shared" si="37"/>
        <v>905.</v>
      </c>
      <c r="C1161" s="205" t="s">
        <v>938</v>
      </c>
      <c r="D1161" s="162"/>
      <c r="E1161" s="163"/>
      <c r="F1161" s="159"/>
      <c r="G1161" s="164"/>
      <c r="H1161" s="204" t="s">
        <v>940</v>
      </c>
      <c r="I1161" s="211">
        <v>2024</v>
      </c>
      <c r="J1161" s="208">
        <v>3662</v>
      </c>
      <c r="K1161" s="159"/>
      <c r="L1161" s="204" t="s">
        <v>942</v>
      </c>
      <c r="N1161" s="141">
        <f t="shared" si="38"/>
        <v>905</v>
      </c>
    </row>
    <row r="1162" spans="1:14" ht="15">
      <c r="A1162" s="159"/>
      <c r="B1162" s="143" t="str">
        <f t="shared" si="37"/>
        <v>906.</v>
      </c>
      <c r="C1162" s="205" t="s">
        <v>938</v>
      </c>
      <c r="D1162" s="162"/>
      <c r="E1162" s="163"/>
      <c r="F1162" s="159"/>
      <c r="G1162" s="164"/>
      <c r="H1162" s="204" t="s">
        <v>940</v>
      </c>
      <c r="I1162" s="211">
        <v>2024</v>
      </c>
      <c r="J1162" s="208">
        <v>3662</v>
      </c>
      <c r="K1162" s="159"/>
      <c r="L1162" s="204" t="s">
        <v>942</v>
      </c>
      <c r="N1162" s="141">
        <f t="shared" si="38"/>
        <v>906</v>
      </c>
    </row>
    <row r="1163" spans="1:14" ht="15">
      <c r="A1163" s="159"/>
      <c r="B1163" s="143" t="str">
        <f t="shared" si="37"/>
        <v>907.</v>
      </c>
      <c r="C1163" s="205" t="s">
        <v>938</v>
      </c>
      <c r="D1163" s="162"/>
      <c r="E1163" s="163"/>
      <c r="F1163" s="159"/>
      <c r="G1163" s="164"/>
      <c r="H1163" s="204" t="s">
        <v>940</v>
      </c>
      <c r="I1163" s="211">
        <v>2024</v>
      </c>
      <c r="J1163" s="208">
        <v>3662</v>
      </c>
      <c r="K1163" s="159"/>
      <c r="L1163" s="204" t="s">
        <v>942</v>
      </c>
      <c r="N1163" s="141">
        <f t="shared" si="38"/>
        <v>907</v>
      </c>
    </row>
    <row r="1164" spans="1:14" ht="15">
      <c r="A1164" s="159"/>
      <c r="B1164" s="143" t="str">
        <f t="shared" si="37"/>
        <v>908.</v>
      </c>
      <c r="C1164" s="205" t="s">
        <v>938</v>
      </c>
      <c r="D1164" s="162"/>
      <c r="E1164" s="163"/>
      <c r="F1164" s="159"/>
      <c r="G1164" s="164"/>
      <c r="H1164" s="204" t="s">
        <v>940</v>
      </c>
      <c r="I1164" s="211">
        <v>2024</v>
      </c>
      <c r="J1164" s="208">
        <v>3662</v>
      </c>
      <c r="K1164" s="159"/>
      <c r="L1164" s="204" t="s">
        <v>942</v>
      </c>
      <c r="N1164" s="141">
        <f t="shared" si="38"/>
        <v>908</v>
      </c>
    </row>
    <row r="1165" spans="1:14" ht="15">
      <c r="A1165" s="159"/>
      <c r="B1165" s="143" t="str">
        <f t="shared" si="37"/>
        <v>909.</v>
      </c>
      <c r="C1165" s="205" t="s">
        <v>938</v>
      </c>
      <c r="D1165" s="162"/>
      <c r="E1165" s="163"/>
      <c r="F1165" s="159"/>
      <c r="G1165" s="164"/>
      <c r="H1165" s="204" t="s">
        <v>940</v>
      </c>
      <c r="I1165" s="211">
        <v>2024</v>
      </c>
      <c r="J1165" s="208">
        <v>3662</v>
      </c>
      <c r="K1165" s="159"/>
      <c r="L1165" s="204" t="s">
        <v>942</v>
      </c>
      <c r="N1165" s="141">
        <f t="shared" si="38"/>
        <v>909</v>
      </c>
    </row>
    <row r="1166" spans="1:14" ht="15">
      <c r="A1166" s="159"/>
      <c r="B1166" s="143" t="str">
        <f t="shared" si="37"/>
        <v>910.</v>
      </c>
      <c r="C1166" s="205" t="s">
        <v>938</v>
      </c>
      <c r="D1166" s="162"/>
      <c r="E1166" s="163"/>
      <c r="F1166" s="159"/>
      <c r="G1166" s="164"/>
      <c r="H1166" s="204" t="s">
        <v>940</v>
      </c>
      <c r="I1166" s="211">
        <v>2024</v>
      </c>
      <c r="J1166" s="208">
        <v>4200</v>
      </c>
      <c r="K1166" s="159"/>
      <c r="L1166" s="204" t="s">
        <v>942</v>
      </c>
      <c r="N1166" s="141">
        <f t="shared" si="38"/>
        <v>910</v>
      </c>
    </row>
    <row r="1167" spans="1:14" ht="15">
      <c r="A1167" s="159"/>
      <c r="B1167" s="143" t="str">
        <f t="shared" si="37"/>
        <v>911.</v>
      </c>
      <c r="C1167" s="205" t="s">
        <v>938</v>
      </c>
      <c r="D1167" s="162"/>
      <c r="E1167" s="163"/>
      <c r="F1167" s="159"/>
      <c r="G1167" s="164"/>
      <c r="H1167" s="204" t="s">
        <v>940</v>
      </c>
      <c r="I1167" s="211">
        <v>2024</v>
      </c>
      <c r="J1167" s="208">
        <v>3662</v>
      </c>
      <c r="K1167" s="159"/>
      <c r="L1167" s="204" t="s">
        <v>942</v>
      </c>
      <c r="N1167" s="141">
        <f t="shared" si="38"/>
        <v>911</v>
      </c>
    </row>
    <row r="1168" spans="1:14" ht="15">
      <c r="A1168" s="159"/>
      <c r="B1168" s="143" t="str">
        <f t="shared" si="37"/>
        <v>912.</v>
      </c>
      <c r="C1168" s="205" t="s">
        <v>938</v>
      </c>
      <c r="D1168" s="162"/>
      <c r="E1168" s="163"/>
      <c r="F1168" s="159"/>
      <c r="G1168" s="164"/>
      <c r="H1168" s="204" t="s">
        <v>940</v>
      </c>
      <c r="I1168" s="211">
        <v>2024</v>
      </c>
      <c r="J1168" s="208">
        <v>3662</v>
      </c>
      <c r="K1168" s="159"/>
      <c r="L1168" s="204" t="s">
        <v>942</v>
      </c>
      <c r="N1168" s="141">
        <f t="shared" si="38"/>
        <v>912</v>
      </c>
    </row>
    <row r="1169" spans="1:14" ht="15">
      <c r="A1169" s="159"/>
      <c r="B1169" s="143" t="str">
        <f t="shared" si="37"/>
        <v>913.</v>
      </c>
      <c r="C1169" s="205" t="s">
        <v>938</v>
      </c>
      <c r="D1169" s="162"/>
      <c r="E1169" s="163"/>
      <c r="F1169" s="159"/>
      <c r="G1169" s="164"/>
      <c r="H1169" s="204" t="s">
        <v>940</v>
      </c>
      <c r="I1169" s="211">
        <v>2024</v>
      </c>
      <c r="J1169" s="208">
        <v>4200</v>
      </c>
      <c r="K1169" s="159"/>
      <c r="L1169" s="204" t="s">
        <v>942</v>
      </c>
      <c r="N1169" s="141">
        <f t="shared" si="38"/>
        <v>913</v>
      </c>
    </row>
    <row r="1170" spans="1:14" ht="15">
      <c r="A1170" s="159"/>
      <c r="B1170" s="143" t="str">
        <f t="shared" si="37"/>
        <v>914.</v>
      </c>
      <c r="C1170" s="205" t="s">
        <v>938</v>
      </c>
      <c r="D1170" s="162"/>
      <c r="E1170" s="163"/>
      <c r="F1170" s="159"/>
      <c r="G1170" s="164"/>
      <c r="H1170" s="204" t="s">
        <v>940</v>
      </c>
      <c r="I1170" s="211">
        <v>2024</v>
      </c>
      <c r="J1170" s="208">
        <v>3662</v>
      </c>
      <c r="K1170" s="159"/>
      <c r="L1170" s="204" t="s">
        <v>942</v>
      </c>
      <c r="N1170" s="141">
        <f t="shared" si="38"/>
        <v>914</v>
      </c>
    </row>
    <row r="1171" spans="1:14" ht="15">
      <c r="A1171" s="159"/>
      <c r="B1171" s="143" t="str">
        <f t="shared" si="37"/>
        <v>915.</v>
      </c>
      <c r="C1171" s="205" t="s">
        <v>938</v>
      </c>
      <c r="D1171" s="162"/>
      <c r="E1171" s="163"/>
      <c r="F1171" s="159"/>
      <c r="G1171" s="164"/>
      <c r="H1171" s="204" t="s">
        <v>940</v>
      </c>
      <c r="I1171" s="211">
        <v>2024</v>
      </c>
      <c r="J1171" s="208">
        <v>4200</v>
      </c>
      <c r="K1171" s="159"/>
      <c r="L1171" s="204" t="s">
        <v>942</v>
      </c>
      <c r="N1171" s="141">
        <f t="shared" si="38"/>
        <v>915</v>
      </c>
    </row>
    <row r="1172" spans="1:14" ht="15">
      <c r="A1172" s="159"/>
      <c r="B1172" s="143" t="str">
        <f t="shared" si="37"/>
        <v>916.</v>
      </c>
      <c r="C1172" s="205" t="s">
        <v>938</v>
      </c>
      <c r="D1172" s="162"/>
      <c r="E1172" s="163"/>
      <c r="F1172" s="159"/>
      <c r="G1172" s="164"/>
      <c r="H1172" s="204" t="s">
        <v>940</v>
      </c>
      <c r="I1172" s="211">
        <v>2024</v>
      </c>
      <c r="J1172" s="208">
        <v>3662</v>
      </c>
      <c r="K1172" s="159"/>
      <c r="L1172" s="204" t="s">
        <v>942</v>
      </c>
      <c r="N1172" s="141">
        <f t="shared" si="38"/>
        <v>916</v>
      </c>
    </row>
    <row r="1173" spans="1:14" ht="15">
      <c r="A1173" s="159"/>
      <c r="B1173" s="143" t="str">
        <f t="shared" si="37"/>
        <v>917.</v>
      </c>
      <c r="C1173" s="205" t="s">
        <v>938</v>
      </c>
      <c r="D1173" s="162"/>
      <c r="E1173" s="163"/>
      <c r="F1173" s="159"/>
      <c r="G1173" s="164"/>
      <c r="H1173" s="204" t="s">
        <v>940</v>
      </c>
      <c r="I1173" s="211">
        <v>2024</v>
      </c>
      <c r="J1173" s="208">
        <v>3662</v>
      </c>
      <c r="K1173" s="159"/>
      <c r="L1173" s="204" t="s">
        <v>942</v>
      </c>
      <c r="N1173" s="141">
        <f t="shared" si="38"/>
        <v>917</v>
      </c>
    </row>
    <row r="1174" spans="1:14" ht="15">
      <c r="A1174" s="159"/>
      <c r="B1174" s="143" t="str">
        <f t="shared" si="37"/>
        <v>918.</v>
      </c>
      <c r="C1174" s="205" t="s">
        <v>938</v>
      </c>
      <c r="D1174" s="162"/>
      <c r="E1174" s="163"/>
      <c r="F1174" s="159"/>
      <c r="G1174" s="164"/>
      <c r="H1174" s="204" t="s">
        <v>940</v>
      </c>
      <c r="I1174" s="211">
        <v>2024</v>
      </c>
      <c r="J1174" s="208">
        <v>3662</v>
      </c>
      <c r="K1174" s="159"/>
      <c r="L1174" s="204" t="s">
        <v>942</v>
      </c>
      <c r="N1174" s="141">
        <f t="shared" si="38"/>
        <v>918</v>
      </c>
    </row>
    <row r="1175" spans="1:14" ht="15">
      <c r="A1175" s="159"/>
      <c r="B1175" s="143" t="str">
        <f t="shared" si="37"/>
        <v>919.</v>
      </c>
      <c r="C1175" s="205" t="s">
        <v>938</v>
      </c>
      <c r="D1175" s="162"/>
      <c r="E1175" s="163"/>
      <c r="F1175" s="159"/>
      <c r="G1175" s="164"/>
      <c r="H1175" s="204" t="s">
        <v>940</v>
      </c>
      <c r="I1175" s="211">
        <v>2024</v>
      </c>
      <c r="J1175" s="208">
        <v>3662</v>
      </c>
      <c r="K1175" s="159"/>
      <c r="L1175" s="204" t="s">
        <v>942</v>
      </c>
      <c r="N1175" s="141">
        <f t="shared" si="38"/>
        <v>919</v>
      </c>
    </row>
    <row r="1176" spans="1:14" ht="15">
      <c r="A1176" s="159"/>
      <c r="B1176" s="143" t="str">
        <f t="shared" si="37"/>
        <v>920.</v>
      </c>
      <c r="C1176" s="205" t="s">
        <v>938</v>
      </c>
      <c r="D1176" s="162"/>
      <c r="E1176" s="163"/>
      <c r="F1176" s="159"/>
      <c r="G1176" s="164"/>
      <c r="H1176" s="204" t="s">
        <v>940</v>
      </c>
      <c r="I1176" s="211">
        <v>2024</v>
      </c>
      <c r="J1176" s="208">
        <v>5247</v>
      </c>
      <c r="K1176" s="159"/>
      <c r="L1176" s="204" t="s">
        <v>942</v>
      </c>
      <c r="N1176" s="141">
        <f t="shared" si="38"/>
        <v>920</v>
      </c>
    </row>
    <row r="1177" spans="1:14" ht="15">
      <c r="A1177" s="159"/>
      <c r="B1177" s="143" t="str">
        <f t="shared" si="37"/>
        <v>921.</v>
      </c>
      <c r="C1177" s="205" t="s">
        <v>938</v>
      </c>
      <c r="D1177" s="162"/>
      <c r="E1177" s="163"/>
      <c r="F1177" s="159"/>
      <c r="G1177" s="164"/>
      <c r="H1177" s="204" t="s">
        <v>940</v>
      </c>
      <c r="I1177" s="211">
        <v>2024</v>
      </c>
      <c r="J1177" s="208">
        <v>5247</v>
      </c>
      <c r="K1177" s="159"/>
      <c r="L1177" s="204" t="s">
        <v>942</v>
      </c>
      <c r="N1177" s="141">
        <f t="shared" si="38"/>
        <v>921</v>
      </c>
    </row>
    <row r="1178" spans="1:14" ht="15">
      <c r="A1178" s="159"/>
      <c r="B1178" s="143" t="str">
        <f t="shared" si="37"/>
        <v>922.</v>
      </c>
      <c r="C1178" s="205" t="s">
        <v>938</v>
      </c>
      <c r="D1178" s="162"/>
      <c r="E1178" s="163"/>
      <c r="F1178" s="159"/>
      <c r="G1178" s="164"/>
      <c r="H1178" s="204" t="s">
        <v>940</v>
      </c>
      <c r="I1178" s="211">
        <v>2024</v>
      </c>
      <c r="J1178" s="208">
        <v>3662</v>
      </c>
      <c r="K1178" s="159"/>
      <c r="L1178" s="204" t="s">
        <v>942</v>
      </c>
      <c r="N1178" s="141">
        <f t="shared" si="38"/>
        <v>922</v>
      </c>
    </row>
    <row r="1179" spans="1:14" ht="15">
      <c r="A1179" s="159"/>
      <c r="B1179" s="143" t="str">
        <f t="shared" si="37"/>
        <v>923.</v>
      </c>
      <c r="C1179" s="205" t="s">
        <v>938</v>
      </c>
      <c r="D1179" s="162"/>
      <c r="E1179" s="163"/>
      <c r="F1179" s="159"/>
      <c r="G1179" s="164"/>
      <c r="H1179" s="204" t="s">
        <v>940</v>
      </c>
      <c r="I1179" s="211">
        <v>2024</v>
      </c>
      <c r="J1179" s="208">
        <v>3662</v>
      </c>
      <c r="K1179" s="159"/>
      <c r="L1179" s="204" t="s">
        <v>942</v>
      </c>
      <c r="N1179" s="141">
        <f t="shared" si="38"/>
        <v>923</v>
      </c>
    </row>
    <row r="1180" spans="1:14" ht="15">
      <c r="A1180" s="159"/>
      <c r="B1180" s="143" t="str">
        <f t="shared" si="37"/>
        <v>924.</v>
      </c>
      <c r="C1180" s="205" t="s">
        <v>938</v>
      </c>
      <c r="D1180" s="162"/>
      <c r="E1180" s="163"/>
      <c r="F1180" s="159"/>
      <c r="G1180" s="164"/>
      <c r="H1180" s="204" t="s">
        <v>940</v>
      </c>
      <c r="I1180" s="211">
        <v>2024</v>
      </c>
      <c r="J1180" s="208">
        <v>3662</v>
      </c>
      <c r="K1180" s="159"/>
      <c r="L1180" s="204" t="s">
        <v>942</v>
      </c>
      <c r="N1180" s="141">
        <f t="shared" si="38"/>
        <v>924</v>
      </c>
    </row>
    <row r="1181" spans="1:14" ht="15">
      <c r="A1181" s="159"/>
      <c r="B1181" s="143" t="str">
        <f t="shared" si="37"/>
        <v>925.</v>
      </c>
      <c r="C1181" s="205" t="s">
        <v>938</v>
      </c>
      <c r="D1181" s="162"/>
      <c r="E1181" s="163"/>
      <c r="F1181" s="159"/>
      <c r="G1181" s="164"/>
      <c r="H1181" s="204" t="s">
        <v>940</v>
      </c>
      <c r="I1181" s="211">
        <v>2024</v>
      </c>
      <c r="J1181" s="208">
        <v>3662</v>
      </c>
      <c r="K1181" s="159"/>
      <c r="L1181" s="204" t="s">
        <v>942</v>
      </c>
      <c r="N1181" s="141">
        <f t="shared" si="38"/>
        <v>925</v>
      </c>
    </row>
    <row r="1182" spans="1:14" ht="15">
      <c r="A1182" s="159"/>
      <c r="B1182" s="143" t="str">
        <f t="shared" si="37"/>
        <v>926.</v>
      </c>
      <c r="C1182" s="205" t="s">
        <v>938</v>
      </c>
      <c r="D1182" s="162"/>
      <c r="E1182" s="163"/>
      <c r="F1182" s="159"/>
      <c r="G1182" s="164"/>
      <c r="H1182" s="204" t="s">
        <v>940</v>
      </c>
      <c r="I1182" s="211">
        <v>2024</v>
      </c>
      <c r="J1182" s="208">
        <v>3662</v>
      </c>
      <c r="K1182" s="159"/>
      <c r="L1182" s="204" t="s">
        <v>942</v>
      </c>
      <c r="N1182" s="141">
        <f t="shared" si="38"/>
        <v>926</v>
      </c>
    </row>
    <row r="1183" spans="1:14" ht="15">
      <c r="A1183" s="159"/>
      <c r="B1183" s="143" t="str">
        <f t="shared" si="37"/>
        <v>927.</v>
      </c>
      <c r="C1183" s="205" t="s">
        <v>938</v>
      </c>
      <c r="D1183" s="162"/>
      <c r="E1183" s="163"/>
      <c r="F1183" s="159"/>
      <c r="G1183" s="164"/>
      <c r="H1183" s="204" t="s">
        <v>940</v>
      </c>
      <c r="I1183" s="211">
        <v>2024</v>
      </c>
      <c r="J1183" s="208">
        <v>3662</v>
      </c>
      <c r="K1183" s="159"/>
      <c r="L1183" s="204" t="s">
        <v>942</v>
      </c>
      <c r="N1183" s="141">
        <f t="shared" si="38"/>
        <v>927</v>
      </c>
    </row>
    <row r="1184" spans="1:14" ht="15">
      <c r="A1184" s="159"/>
      <c r="B1184" s="143" t="str">
        <f t="shared" si="37"/>
        <v>928.</v>
      </c>
      <c r="C1184" s="205" t="s">
        <v>938</v>
      </c>
      <c r="D1184" s="162"/>
      <c r="E1184" s="163"/>
      <c r="F1184" s="159"/>
      <c r="G1184" s="164"/>
      <c r="H1184" s="204" t="s">
        <v>940</v>
      </c>
      <c r="I1184" s="211">
        <v>2024</v>
      </c>
      <c r="J1184" s="208">
        <v>5247</v>
      </c>
      <c r="K1184" s="159"/>
      <c r="L1184" s="204" t="s">
        <v>942</v>
      </c>
      <c r="N1184" s="141">
        <f t="shared" si="38"/>
        <v>928</v>
      </c>
    </row>
    <row r="1185" spans="1:14" ht="15">
      <c r="A1185" s="159"/>
      <c r="B1185" s="143" t="str">
        <f t="shared" si="37"/>
        <v>929.</v>
      </c>
      <c r="C1185" s="205" t="s">
        <v>938</v>
      </c>
      <c r="D1185" s="162"/>
      <c r="E1185" s="163"/>
      <c r="F1185" s="159"/>
      <c r="G1185" s="164"/>
      <c r="H1185" s="204" t="s">
        <v>940</v>
      </c>
      <c r="I1185" s="211">
        <v>2024</v>
      </c>
      <c r="J1185" s="208">
        <v>3662</v>
      </c>
      <c r="K1185" s="159"/>
      <c r="L1185" s="204" t="s">
        <v>942</v>
      </c>
      <c r="N1185" s="141">
        <f t="shared" si="38"/>
        <v>929</v>
      </c>
    </row>
    <row r="1186" spans="1:14" ht="15">
      <c r="A1186" s="159"/>
      <c r="B1186" s="143" t="str">
        <f t="shared" si="37"/>
        <v>930.</v>
      </c>
      <c r="C1186" s="205" t="s">
        <v>938</v>
      </c>
      <c r="D1186" s="162"/>
      <c r="E1186" s="163"/>
      <c r="F1186" s="159"/>
      <c r="G1186" s="164"/>
      <c r="H1186" s="204" t="s">
        <v>940</v>
      </c>
      <c r="I1186" s="211">
        <v>2024</v>
      </c>
      <c r="J1186" s="208">
        <v>4200</v>
      </c>
      <c r="K1186" s="159"/>
      <c r="L1186" s="204" t="s">
        <v>942</v>
      </c>
      <c r="N1186" s="141">
        <f t="shared" si="38"/>
        <v>930</v>
      </c>
    </row>
    <row r="1187" spans="1:14" ht="15">
      <c r="A1187" s="159"/>
      <c r="B1187" s="143" t="str">
        <f t="shared" si="37"/>
        <v>931.</v>
      </c>
      <c r="C1187" s="205" t="s">
        <v>938</v>
      </c>
      <c r="D1187" s="162"/>
      <c r="E1187" s="163"/>
      <c r="F1187" s="159"/>
      <c r="G1187" s="164"/>
      <c r="H1187" s="204" t="s">
        <v>940</v>
      </c>
      <c r="I1187" s="211">
        <v>2024</v>
      </c>
      <c r="J1187" s="208">
        <v>3662</v>
      </c>
      <c r="K1187" s="159"/>
      <c r="L1187" s="204" t="s">
        <v>942</v>
      </c>
      <c r="N1187" s="141">
        <f t="shared" si="38"/>
        <v>931</v>
      </c>
    </row>
    <row r="1188" spans="1:14" ht="15">
      <c r="A1188" s="159"/>
      <c r="B1188" s="143" t="str">
        <f t="shared" si="37"/>
        <v>932.</v>
      </c>
      <c r="C1188" s="205" t="s">
        <v>938</v>
      </c>
      <c r="D1188" s="162"/>
      <c r="E1188" s="163"/>
      <c r="F1188" s="159"/>
      <c r="G1188" s="164"/>
      <c r="H1188" s="204" t="s">
        <v>940</v>
      </c>
      <c r="I1188" s="211">
        <v>2024</v>
      </c>
      <c r="J1188" s="208">
        <v>3030</v>
      </c>
      <c r="K1188" s="159"/>
      <c r="L1188" s="204" t="s">
        <v>942</v>
      </c>
      <c r="N1188" s="141">
        <f t="shared" si="38"/>
        <v>932</v>
      </c>
    </row>
    <row r="1189" spans="1:14" ht="15">
      <c r="A1189" s="159"/>
      <c r="B1189" s="143" t="str">
        <f t="shared" si="37"/>
        <v>933.</v>
      </c>
      <c r="C1189" s="205" t="s">
        <v>938</v>
      </c>
      <c r="D1189" s="162"/>
      <c r="E1189" s="163"/>
      <c r="F1189" s="159"/>
      <c r="G1189" s="164"/>
      <c r="H1189" s="204" t="s">
        <v>940</v>
      </c>
      <c r="I1189" s="211">
        <v>2024</v>
      </c>
      <c r="J1189" s="208">
        <v>3030</v>
      </c>
      <c r="K1189" s="159"/>
      <c r="L1189" s="204" t="s">
        <v>942</v>
      </c>
      <c r="N1189" s="141">
        <f t="shared" si="38"/>
        <v>933</v>
      </c>
    </row>
    <row r="1190" spans="1:14" ht="15">
      <c r="A1190" s="159"/>
      <c r="B1190" s="143" t="str">
        <f t="shared" si="37"/>
        <v>934.</v>
      </c>
      <c r="C1190" s="205" t="s">
        <v>938</v>
      </c>
      <c r="D1190" s="162"/>
      <c r="E1190" s="163"/>
      <c r="F1190" s="159"/>
      <c r="G1190" s="164"/>
      <c r="H1190" s="204" t="s">
        <v>940</v>
      </c>
      <c r="I1190" s="211">
        <v>2024</v>
      </c>
      <c r="J1190" s="208">
        <v>3372</v>
      </c>
      <c r="K1190" s="159"/>
      <c r="L1190" s="204" t="s">
        <v>942</v>
      </c>
      <c r="N1190" s="141">
        <f t="shared" si="38"/>
        <v>934</v>
      </c>
    </row>
    <row r="1191" spans="1:14" ht="15">
      <c r="A1191" s="159"/>
      <c r="B1191" s="143" t="str">
        <f t="shared" si="37"/>
        <v>935.</v>
      </c>
      <c r="C1191" s="205" t="s">
        <v>938</v>
      </c>
      <c r="D1191" s="162"/>
      <c r="E1191" s="163"/>
      <c r="F1191" s="159"/>
      <c r="G1191" s="164"/>
      <c r="H1191" s="204" t="s">
        <v>940</v>
      </c>
      <c r="I1191" s="211">
        <v>2024</v>
      </c>
      <c r="J1191" s="208">
        <v>3372</v>
      </c>
      <c r="K1191" s="159"/>
      <c r="L1191" s="204" t="s">
        <v>942</v>
      </c>
      <c r="N1191" s="141">
        <f t="shared" si="38"/>
        <v>935</v>
      </c>
    </row>
    <row r="1192" spans="1:14" ht="15">
      <c r="A1192" s="159"/>
      <c r="B1192" s="143" t="str">
        <f t="shared" si="37"/>
        <v>936.</v>
      </c>
      <c r="C1192" s="205" t="s">
        <v>938</v>
      </c>
      <c r="D1192" s="162"/>
      <c r="E1192" s="163"/>
      <c r="F1192" s="159"/>
      <c r="G1192" s="164"/>
      <c r="H1192" s="204" t="s">
        <v>940</v>
      </c>
      <c r="I1192" s="211">
        <v>2024</v>
      </c>
      <c r="J1192" s="208">
        <v>3372</v>
      </c>
      <c r="K1192" s="159"/>
      <c r="L1192" s="204" t="s">
        <v>942</v>
      </c>
      <c r="N1192" s="141">
        <f t="shared" si="38"/>
        <v>936</v>
      </c>
    </row>
    <row r="1193" spans="1:14" ht="15">
      <c r="A1193" s="159"/>
      <c r="B1193" s="143" t="str">
        <f t="shared" si="37"/>
        <v>937.</v>
      </c>
      <c r="C1193" s="205" t="s">
        <v>938</v>
      </c>
      <c r="D1193" s="162"/>
      <c r="E1193" s="163"/>
      <c r="F1193" s="159"/>
      <c r="G1193" s="164"/>
      <c r="H1193" s="204" t="s">
        <v>940</v>
      </c>
      <c r="I1193" s="211">
        <v>2024</v>
      </c>
      <c r="J1193" s="208">
        <v>3372</v>
      </c>
      <c r="K1193" s="159"/>
      <c r="L1193" s="204" t="s">
        <v>942</v>
      </c>
      <c r="N1193" s="141">
        <f t="shared" si="38"/>
        <v>937</v>
      </c>
    </row>
    <row r="1194" spans="1:14" ht="15">
      <c r="A1194" s="159"/>
      <c r="B1194" s="143" t="str">
        <f t="shared" si="37"/>
        <v>938.</v>
      </c>
      <c r="C1194" s="205" t="s">
        <v>938</v>
      </c>
      <c r="D1194" s="162"/>
      <c r="E1194" s="163"/>
      <c r="F1194" s="159"/>
      <c r="G1194" s="164"/>
      <c r="H1194" s="204" t="s">
        <v>940</v>
      </c>
      <c r="I1194" s="211">
        <v>2024</v>
      </c>
      <c r="J1194" s="208">
        <v>3714</v>
      </c>
      <c r="K1194" s="159"/>
      <c r="L1194" s="204" t="s">
        <v>942</v>
      </c>
      <c r="N1194" s="141">
        <f t="shared" si="38"/>
        <v>938</v>
      </c>
    </row>
    <row r="1195" spans="1:14" ht="15">
      <c r="A1195" s="159"/>
      <c r="B1195" s="143" t="str">
        <f t="shared" si="37"/>
        <v>939.</v>
      </c>
      <c r="C1195" s="205" t="s">
        <v>938</v>
      </c>
      <c r="D1195" s="162"/>
      <c r="E1195" s="163"/>
      <c r="F1195" s="159"/>
      <c r="G1195" s="164"/>
      <c r="H1195" s="204" t="s">
        <v>940</v>
      </c>
      <c r="I1195" s="211">
        <v>2024</v>
      </c>
      <c r="J1195" s="208">
        <v>3372</v>
      </c>
      <c r="K1195" s="159"/>
      <c r="L1195" s="204" t="s">
        <v>942</v>
      </c>
      <c r="N1195" s="141">
        <f t="shared" si="38"/>
        <v>939</v>
      </c>
    </row>
    <row r="1196" spans="1:14" ht="15">
      <c r="A1196" s="159"/>
      <c r="B1196" s="143" t="str">
        <f t="shared" si="37"/>
        <v>940.</v>
      </c>
      <c r="C1196" s="205" t="s">
        <v>938</v>
      </c>
      <c r="D1196" s="162"/>
      <c r="E1196" s="163"/>
      <c r="F1196" s="159"/>
      <c r="G1196" s="164"/>
      <c r="H1196" s="204" t="s">
        <v>940</v>
      </c>
      <c r="I1196" s="211">
        <v>2024</v>
      </c>
      <c r="J1196" s="208">
        <v>3714</v>
      </c>
      <c r="K1196" s="159"/>
      <c r="L1196" s="204" t="s">
        <v>942</v>
      </c>
      <c r="N1196" s="141">
        <f t="shared" si="38"/>
        <v>940</v>
      </c>
    </row>
    <row r="1197" spans="1:14" ht="15">
      <c r="A1197" s="159"/>
      <c r="B1197" s="143" t="str">
        <f t="shared" si="37"/>
        <v>941.</v>
      </c>
      <c r="C1197" s="205" t="s">
        <v>938</v>
      </c>
      <c r="D1197" s="162"/>
      <c r="E1197" s="163"/>
      <c r="F1197" s="159"/>
      <c r="G1197" s="164"/>
      <c r="H1197" s="204" t="s">
        <v>940</v>
      </c>
      <c r="I1197" s="211">
        <v>2024</v>
      </c>
      <c r="J1197" s="208">
        <v>3372</v>
      </c>
      <c r="K1197" s="159"/>
      <c r="L1197" s="204" t="s">
        <v>942</v>
      </c>
      <c r="N1197" s="141">
        <f t="shared" si="38"/>
        <v>941</v>
      </c>
    </row>
    <row r="1198" spans="1:14" ht="15">
      <c r="A1198" s="159"/>
      <c r="B1198" s="143" t="str">
        <f t="shared" si="37"/>
        <v>942.</v>
      </c>
      <c r="C1198" s="205" t="s">
        <v>938</v>
      </c>
      <c r="D1198" s="162"/>
      <c r="E1198" s="163"/>
      <c r="F1198" s="159"/>
      <c r="G1198" s="164"/>
      <c r="H1198" s="204" t="s">
        <v>940</v>
      </c>
      <c r="I1198" s="211">
        <v>2024</v>
      </c>
      <c r="J1198" s="208">
        <v>3372</v>
      </c>
      <c r="K1198" s="159"/>
      <c r="L1198" s="204" t="s">
        <v>942</v>
      </c>
      <c r="N1198" s="141">
        <f t="shared" si="38"/>
        <v>942</v>
      </c>
    </row>
    <row r="1199" spans="1:14" ht="15">
      <c r="A1199" s="159"/>
      <c r="B1199" s="143" t="str">
        <f t="shared" si="37"/>
        <v>943.</v>
      </c>
      <c r="C1199" s="205" t="s">
        <v>938</v>
      </c>
      <c r="D1199" s="162"/>
      <c r="E1199" s="163"/>
      <c r="F1199" s="159"/>
      <c r="G1199" s="164"/>
      <c r="H1199" s="204" t="s">
        <v>940</v>
      </c>
      <c r="I1199" s="211">
        <v>2024</v>
      </c>
      <c r="J1199" s="208">
        <v>3372</v>
      </c>
      <c r="K1199" s="159"/>
      <c r="L1199" s="204" t="s">
        <v>942</v>
      </c>
      <c r="N1199" s="141">
        <f t="shared" si="38"/>
        <v>943</v>
      </c>
    </row>
    <row r="1200" spans="1:14" ht="15">
      <c r="A1200" s="159"/>
      <c r="B1200" s="143" t="str">
        <f t="shared" si="37"/>
        <v>944.</v>
      </c>
      <c r="C1200" s="205" t="s">
        <v>938</v>
      </c>
      <c r="D1200" s="162"/>
      <c r="E1200" s="163"/>
      <c r="F1200" s="159"/>
      <c r="G1200" s="164"/>
      <c r="H1200" s="204" t="s">
        <v>940</v>
      </c>
      <c r="I1200" s="211">
        <v>2024</v>
      </c>
      <c r="J1200" s="208">
        <v>3030</v>
      </c>
      <c r="K1200" s="159"/>
      <c r="L1200" s="204" t="s">
        <v>942</v>
      </c>
      <c r="N1200" s="141">
        <f t="shared" si="38"/>
        <v>944</v>
      </c>
    </row>
    <row r="1201" spans="1:14" ht="15">
      <c r="A1201" s="159"/>
      <c r="B1201" s="143" t="str">
        <f t="shared" si="37"/>
        <v>945.</v>
      </c>
      <c r="C1201" s="205" t="s">
        <v>938</v>
      </c>
      <c r="D1201" s="162"/>
      <c r="E1201" s="163"/>
      <c r="F1201" s="159"/>
      <c r="G1201" s="164"/>
      <c r="H1201" s="204" t="s">
        <v>940</v>
      </c>
      <c r="I1201" s="211">
        <v>2024</v>
      </c>
      <c r="J1201" s="208">
        <v>3372</v>
      </c>
      <c r="K1201" s="159"/>
      <c r="L1201" s="204" t="s">
        <v>942</v>
      </c>
      <c r="N1201" s="141">
        <f t="shared" si="38"/>
        <v>945</v>
      </c>
    </row>
    <row r="1202" spans="1:14" ht="15">
      <c r="A1202" s="159"/>
      <c r="B1202" s="143" t="str">
        <f t="shared" si="37"/>
        <v>946.</v>
      </c>
      <c r="C1202" s="205" t="s">
        <v>938</v>
      </c>
      <c r="D1202" s="162"/>
      <c r="E1202" s="163"/>
      <c r="F1202" s="159"/>
      <c r="G1202" s="164"/>
      <c r="H1202" s="204" t="s">
        <v>940</v>
      </c>
      <c r="I1202" s="211">
        <v>2024</v>
      </c>
      <c r="J1202" s="208">
        <v>2688</v>
      </c>
      <c r="K1202" s="159"/>
      <c r="L1202" s="204" t="s">
        <v>942</v>
      </c>
      <c r="N1202" s="141">
        <f t="shared" si="38"/>
        <v>946</v>
      </c>
    </row>
    <row r="1203" spans="1:14" ht="15">
      <c r="A1203" s="159"/>
      <c r="B1203" s="143" t="str">
        <f t="shared" si="37"/>
        <v>947.</v>
      </c>
      <c r="C1203" s="205" t="s">
        <v>938</v>
      </c>
      <c r="D1203" s="162"/>
      <c r="E1203" s="163"/>
      <c r="F1203" s="159"/>
      <c r="G1203" s="164"/>
      <c r="H1203" s="204" t="s">
        <v>940</v>
      </c>
      <c r="I1203" s="211">
        <v>2024</v>
      </c>
      <c r="J1203" s="208">
        <v>4056</v>
      </c>
      <c r="K1203" s="159"/>
      <c r="L1203" s="204" t="s">
        <v>942</v>
      </c>
      <c r="N1203" s="141">
        <f t="shared" si="38"/>
        <v>947</v>
      </c>
    </row>
    <row r="1204" spans="1:14" ht="15">
      <c r="A1204" s="159"/>
      <c r="B1204" s="143" t="str">
        <f t="shared" si="37"/>
        <v>948.</v>
      </c>
      <c r="C1204" s="205" t="s">
        <v>938</v>
      </c>
      <c r="D1204" s="162"/>
      <c r="E1204" s="163"/>
      <c r="F1204" s="159"/>
      <c r="G1204" s="164"/>
      <c r="H1204" s="204" t="s">
        <v>940</v>
      </c>
      <c r="I1204" s="211">
        <v>2024</v>
      </c>
      <c r="J1204" s="208">
        <v>3030</v>
      </c>
      <c r="K1204" s="159"/>
      <c r="L1204" s="204" t="s">
        <v>942</v>
      </c>
      <c r="N1204" s="141">
        <f t="shared" si="38"/>
        <v>948</v>
      </c>
    </row>
    <row r="1205" spans="1:14" ht="15">
      <c r="A1205" s="159"/>
      <c r="B1205" s="143" t="str">
        <f t="shared" si="37"/>
        <v>949.</v>
      </c>
      <c r="C1205" s="205" t="s">
        <v>938</v>
      </c>
      <c r="D1205" s="162"/>
      <c r="E1205" s="163"/>
      <c r="F1205" s="159"/>
      <c r="G1205" s="164"/>
      <c r="H1205" s="204" t="s">
        <v>940</v>
      </c>
      <c r="I1205" s="211">
        <v>2024</v>
      </c>
      <c r="J1205" s="208">
        <v>3030</v>
      </c>
      <c r="K1205" s="159"/>
      <c r="L1205" s="204" t="s">
        <v>942</v>
      </c>
      <c r="N1205" s="141">
        <f t="shared" si="38"/>
        <v>949</v>
      </c>
    </row>
    <row r="1206" spans="1:14" ht="15">
      <c r="A1206" s="159"/>
      <c r="B1206" s="143" t="str">
        <f t="shared" si="37"/>
        <v>950.</v>
      </c>
      <c r="C1206" s="205" t="s">
        <v>938</v>
      </c>
      <c r="D1206" s="162"/>
      <c r="E1206" s="163"/>
      <c r="F1206" s="159"/>
      <c r="G1206" s="164"/>
      <c r="H1206" s="204" t="s">
        <v>940</v>
      </c>
      <c r="I1206" s="211">
        <v>2024</v>
      </c>
      <c r="J1206" s="208">
        <v>3030</v>
      </c>
      <c r="K1206" s="159"/>
      <c r="L1206" s="204" t="s">
        <v>942</v>
      </c>
      <c r="N1206" s="141">
        <f t="shared" si="38"/>
        <v>950</v>
      </c>
    </row>
    <row r="1207" spans="1:14" ht="15">
      <c r="A1207" s="159"/>
      <c r="B1207" s="143" t="str">
        <f t="shared" si="37"/>
        <v>951.</v>
      </c>
      <c r="C1207" s="205" t="s">
        <v>938</v>
      </c>
      <c r="D1207" s="162"/>
      <c r="E1207" s="163"/>
      <c r="F1207" s="159"/>
      <c r="G1207" s="164"/>
      <c r="H1207" s="204" t="s">
        <v>940</v>
      </c>
      <c r="I1207" s="211">
        <v>2024</v>
      </c>
      <c r="J1207" s="208">
        <v>3372</v>
      </c>
      <c r="K1207" s="159"/>
      <c r="L1207" s="204" t="s">
        <v>942</v>
      </c>
      <c r="N1207" s="141">
        <f t="shared" si="38"/>
        <v>951</v>
      </c>
    </row>
    <row r="1208" spans="1:14" ht="15">
      <c r="A1208" s="159"/>
      <c r="B1208" s="143" t="str">
        <f t="shared" si="37"/>
        <v>952.</v>
      </c>
      <c r="C1208" s="205" t="s">
        <v>938</v>
      </c>
      <c r="D1208" s="162"/>
      <c r="E1208" s="163"/>
      <c r="F1208" s="159"/>
      <c r="G1208" s="164"/>
      <c r="H1208" s="204" t="s">
        <v>940</v>
      </c>
      <c r="I1208" s="211">
        <v>2024</v>
      </c>
      <c r="J1208" s="208">
        <v>3372</v>
      </c>
      <c r="K1208" s="159"/>
      <c r="L1208" s="204" t="s">
        <v>942</v>
      </c>
      <c r="N1208" s="141">
        <f t="shared" si="38"/>
        <v>952</v>
      </c>
    </row>
    <row r="1209" spans="1:14" ht="15">
      <c r="A1209" s="159"/>
      <c r="B1209" s="143" t="str">
        <f t="shared" si="37"/>
        <v>953.</v>
      </c>
      <c r="C1209" s="205" t="s">
        <v>938</v>
      </c>
      <c r="D1209" s="162"/>
      <c r="E1209" s="163"/>
      <c r="F1209" s="159"/>
      <c r="G1209" s="164"/>
      <c r="H1209" s="204" t="s">
        <v>940</v>
      </c>
      <c r="I1209" s="211">
        <v>2024</v>
      </c>
      <c r="J1209" s="208">
        <v>3372</v>
      </c>
      <c r="K1209" s="159"/>
      <c r="L1209" s="204" t="s">
        <v>942</v>
      </c>
      <c r="N1209" s="141">
        <f t="shared" si="38"/>
        <v>953</v>
      </c>
    </row>
    <row r="1210" spans="1:14" ht="15">
      <c r="A1210" s="159"/>
      <c r="B1210" s="143" t="str">
        <f t="shared" si="37"/>
        <v>954.</v>
      </c>
      <c r="C1210" s="205" t="s">
        <v>938</v>
      </c>
      <c r="D1210" s="162"/>
      <c r="E1210" s="163"/>
      <c r="F1210" s="159"/>
      <c r="G1210" s="164"/>
      <c r="H1210" s="204" t="s">
        <v>940</v>
      </c>
      <c r="I1210" s="211">
        <v>2024</v>
      </c>
      <c r="J1210" s="208">
        <v>3714</v>
      </c>
      <c r="K1210" s="159"/>
      <c r="L1210" s="204" t="s">
        <v>942</v>
      </c>
      <c r="N1210" s="141">
        <f t="shared" si="38"/>
        <v>954</v>
      </c>
    </row>
    <row r="1211" spans="1:14" ht="15">
      <c r="A1211" s="159"/>
      <c r="B1211" s="143" t="str">
        <f t="shared" si="37"/>
        <v>955.</v>
      </c>
      <c r="C1211" s="205" t="s">
        <v>938</v>
      </c>
      <c r="D1211" s="162"/>
      <c r="E1211" s="163"/>
      <c r="F1211" s="159"/>
      <c r="G1211" s="164"/>
      <c r="H1211" s="204" t="s">
        <v>940</v>
      </c>
      <c r="I1211" s="211">
        <v>2024</v>
      </c>
      <c r="J1211" s="208">
        <v>3714</v>
      </c>
      <c r="K1211" s="159"/>
      <c r="L1211" s="204" t="s">
        <v>942</v>
      </c>
      <c r="N1211" s="141">
        <f t="shared" si="38"/>
        <v>955</v>
      </c>
    </row>
    <row r="1212" spans="1:14" ht="15">
      <c r="A1212" s="159"/>
      <c r="B1212" s="143" t="str">
        <f t="shared" si="37"/>
        <v>956.</v>
      </c>
      <c r="C1212" s="205" t="s">
        <v>938</v>
      </c>
      <c r="D1212" s="162"/>
      <c r="E1212" s="163"/>
      <c r="F1212" s="159"/>
      <c r="G1212" s="164"/>
      <c r="H1212" s="204" t="s">
        <v>940</v>
      </c>
      <c r="I1212" s="211">
        <v>2024</v>
      </c>
      <c r="J1212" s="208">
        <v>3030</v>
      </c>
      <c r="K1212" s="159"/>
      <c r="L1212" s="204" t="s">
        <v>942</v>
      </c>
      <c r="N1212" s="141">
        <f t="shared" si="38"/>
        <v>956</v>
      </c>
    </row>
    <row r="1213" spans="1:14" ht="15">
      <c r="A1213" s="159"/>
      <c r="B1213" s="143" t="str">
        <f t="shared" si="37"/>
        <v>957.</v>
      </c>
      <c r="C1213" s="205" t="s">
        <v>938</v>
      </c>
      <c r="D1213" s="162"/>
      <c r="E1213" s="163"/>
      <c r="F1213" s="159"/>
      <c r="G1213" s="164"/>
      <c r="H1213" s="204" t="s">
        <v>940</v>
      </c>
      <c r="I1213" s="211">
        <v>2024</v>
      </c>
      <c r="J1213" s="208">
        <v>3372</v>
      </c>
      <c r="K1213" s="159"/>
      <c r="L1213" s="204" t="s">
        <v>942</v>
      </c>
      <c r="N1213" s="141">
        <f t="shared" si="38"/>
        <v>957</v>
      </c>
    </row>
    <row r="1214" spans="1:14" ht="15">
      <c r="A1214" s="159"/>
      <c r="B1214" s="143" t="str">
        <f t="shared" si="37"/>
        <v>958.</v>
      </c>
      <c r="C1214" s="205" t="s">
        <v>938</v>
      </c>
      <c r="D1214" s="162"/>
      <c r="E1214" s="163"/>
      <c r="F1214" s="159"/>
      <c r="G1214" s="164"/>
      <c r="H1214" s="204" t="s">
        <v>940</v>
      </c>
      <c r="I1214" s="211">
        <v>2024</v>
      </c>
      <c r="J1214" s="208">
        <v>3030</v>
      </c>
      <c r="K1214" s="159"/>
      <c r="L1214" s="204" t="s">
        <v>942</v>
      </c>
      <c r="N1214" s="141">
        <f t="shared" si="38"/>
        <v>958</v>
      </c>
    </row>
    <row r="1215" spans="1:14" ht="15">
      <c r="A1215" s="159"/>
      <c r="B1215" s="143" t="str">
        <f t="shared" si="37"/>
        <v>959.</v>
      </c>
      <c r="C1215" s="205" t="s">
        <v>938</v>
      </c>
      <c r="D1215" s="162"/>
      <c r="E1215" s="163"/>
      <c r="F1215" s="159"/>
      <c r="G1215" s="164"/>
      <c r="H1215" s="204" t="s">
        <v>940</v>
      </c>
      <c r="I1215" s="211">
        <v>2024</v>
      </c>
      <c r="J1215" s="208">
        <v>3030</v>
      </c>
      <c r="K1215" s="159"/>
      <c r="L1215" s="204" t="s">
        <v>942</v>
      </c>
      <c r="N1215" s="141">
        <f t="shared" si="38"/>
        <v>959</v>
      </c>
    </row>
    <row r="1216" spans="1:14" ht="15">
      <c r="A1216" s="159"/>
      <c r="B1216" s="143" t="str">
        <f t="shared" si="37"/>
        <v>960.</v>
      </c>
      <c r="C1216" s="205" t="s">
        <v>938</v>
      </c>
      <c r="D1216" s="162"/>
      <c r="E1216" s="163"/>
      <c r="F1216" s="159"/>
      <c r="G1216" s="164"/>
      <c r="H1216" s="204" t="s">
        <v>940</v>
      </c>
      <c r="I1216" s="211">
        <v>2024</v>
      </c>
      <c r="J1216" s="208">
        <v>3030</v>
      </c>
      <c r="K1216" s="159"/>
      <c r="L1216" s="204" t="s">
        <v>942</v>
      </c>
      <c r="N1216" s="141">
        <f t="shared" si="38"/>
        <v>960</v>
      </c>
    </row>
    <row r="1217" spans="1:14" ht="15">
      <c r="A1217" s="159"/>
      <c r="B1217" s="143" t="str">
        <f t="shared" ref="B1217:B1280" si="39">N1217&amp;"."</f>
        <v>961.</v>
      </c>
      <c r="C1217" s="205" t="s">
        <v>938</v>
      </c>
      <c r="D1217" s="162"/>
      <c r="E1217" s="163"/>
      <c r="F1217" s="159"/>
      <c r="G1217" s="164"/>
      <c r="H1217" s="204" t="s">
        <v>940</v>
      </c>
      <c r="I1217" s="211">
        <v>2024</v>
      </c>
      <c r="J1217" s="208">
        <v>3372</v>
      </c>
      <c r="K1217" s="159"/>
      <c r="L1217" s="204" t="s">
        <v>942</v>
      </c>
      <c r="N1217" s="141">
        <f t="shared" si="38"/>
        <v>961</v>
      </c>
    </row>
    <row r="1218" spans="1:14" ht="15">
      <c r="A1218" s="159"/>
      <c r="B1218" s="143" t="str">
        <f t="shared" si="39"/>
        <v>962.</v>
      </c>
      <c r="C1218" s="205" t="s">
        <v>938</v>
      </c>
      <c r="D1218" s="162"/>
      <c r="E1218" s="163"/>
      <c r="F1218" s="159"/>
      <c r="G1218" s="164"/>
      <c r="H1218" s="204" t="s">
        <v>940</v>
      </c>
      <c r="I1218" s="211">
        <v>2024</v>
      </c>
      <c r="J1218" s="208">
        <v>4056</v>
      </c>
      <c r="K1218" s="159"/>
      <c r="L1218" s="204" t="s">
        <v>942</v>
      </c>
      <c r="N1218" s="141">
        <f t="shared" si="38"/>
        <v>962</v>
      </c>
    </row>
    <row r="1219" spans="1:14" ht="15">
      <c r="A1219" s="159"/>
      <c r="B1219" s="143" t="str">
        <f t="shared" si="39"/>
        <v>963.</v>
      </c>
      <c r="C1219" s="205" t="s">
        <v>938</v>
      </c>
      <c r="D1219" s="162"/>
      <c r="E1219" s="163"/>
      <c r="F1219" s="159"/>
      <c r="G1219" s="164"/>
      <c r="H1219" s="204" t="s">
        <v>940</v>
      </c>
      <c r="I1219" s="211">
        <v>2024</v>
      </c>
      <c r="J1219" s="208">
        <v>3372</v>
      </c>
      <c r="K1219" s="159"/>
      <c r="L1219" s="204" t="s">
        <v>942</v>
      </c>
      <c r="N1219" s="141">
        <f t="shared" ref="N1219:N1282" si="40">N1218+1</f>
        <v>963</v>
      </c>
    </row>
    <row r="1220" spans="1:14" ht="15">
      <c r="A1220" s="159"/>
      <c r="B1220" s="143" t="str">
        <f t="shared" si="39"/>
        <v>964.</v>
      </c>
      <c r="C1220" s="205" t="s">
        <v>938</v>
      </c>
      <c r="D1220" s="162"/>
      <c r="E1220" s="163"/>
      <c r="F1220" s="159"/>
      <c r="G1220" s="164"/>
      <c r="H1220" s="204" t="s">
        <v>940</v>
      </c>
      <c r="I1220" s="211">
        <v>2024</v>
      </c>
      <c r="J1220" s="208">
        <v>4056</v>
      </c>
      <c r="K1220" s="159"/>
      <c r="L1220" s="204" t="s">
        <v>942</v>
      </c>
      <c r="N1220" s="141">
        <f t="shared" si="40"/>
        <v>964</v>
      </c>
    </row>
    <row r="1221" spans="1:14" ht="15">
      <c r="A1221" s="159"/>
      <c r="B1221" s="143" t="str">
        <f t="shared" si="39"/>
        <v>965.</v>
      </c>
      <c r="C1221" s="205" t="s">
        <v>938</v>
      </c>
      <c r="D1221" s="162"/>
      <c r="E1221" s="163"/>
      <c r="F1221" s="159"/>
      <c r="G1221" s="164"/>
      <c r="H1221" s="204" t="s">
        <v>940</v>
      </c>
      <c r="I1221" s="211">
        <v>2024</v>
      </c>
      <c r="J1221" s="208">
        <v>3030</v>
      </c>
      <c r="K1221" s="159"/>
      <c r="L1221" s="204" t="s">
        <v>942</v>
      </c>
      <c r="N1221" s="141">
        <f t="shared" si="40"/>
        <v>965</v>
      </c>
    </row>
    <row r="1222" spans="1:14" ht="15">
      <c r="A1222" s="159"/>
      <c r="B1222" s="143" t="str">
        <f t="shared" si="39"/>
        <v>966.</v>
      </c>
      <c r="C1222" s="205" t="s">
        <v>938</v>
      </c>
      <c r="D1222" s="162"/>
      <c r="E1222" s="163"/>
      <c r="F1222" s="159"/>
      <c r="G1222" s="164"/>
      <c r="H1222" s="204" t="s">
        <v>940</v>
      </c>
      <c r="I1222" s="211">
        <v>2024</v>
      </c>
      <c r="J1222" s="208">
        <v>3372</v>
      </c>
      <c r="K1222" s="159"/>
      <c r="L1222" s="204" t="s">
        <v>942</v>
      </c>
      <c r="N1222" s="141">
        <f t="shared" si="40"/>
        <v>966</v>
      </c>
    </row>
    <row r="1223" spans="1:14" ht="15">
      <c r="A1223" s="159"/>
      <c r="B1223" s="143" t="str">
        <f t="shared" si="39"/>
        <v>967.</v>
      </c>
      <c r="C1223" s="205" t="s">
        <v>938</v>
      </c>
      <c r="D1223" s="162"/>
      <c r="E1223" s="163"/>
      <c r="F1223" s="159"/>
      <c r="G1223" s="164"/>
      <c r="H1223" s="204" t="s">
        <v>940</v>
      </c>
      <c r="I1223" s="211">
        <v>2024</v>
      </c>
      <c r="J1223" s="208">
        <v>3372</v>
      </c>
      <c r="K1223" s="159"/>
      <c r="L1223" s="204" t="s">
        <v>942</v>
      </c>
      <c r="N1223" s="141">
        <f t="shared" si="40"/>
        <v>967</v>
      </c>
    </row>
    <row r="1224" spans="1:14" ht="15">
      <c r="A1224" s="159"/>
      <c r="B1224" s="143" t="str">
        <f t="shared" si="39"/>
        <v>968.</v>
      </c>
      <c r="C1224" s="205" t="s">
        <v>938</v>
      </c>
      <c r="D1224" s="162"/>
      <c r="E1224" s="163"/>
      <c r="F1224" s="159"/>
      <c r="G1224" s="164"/>
      <c r="H1224" s="204" t="s">
        <v>940</v>
      </c>
      <c r="I1224" s="211">
        <v>2024</v>
      </c>
      <c r="J1224" s="208">
        <v>3030</v>
      </c>
      <c r="K1224" s="159"/>
      <c r="L1224" s="204" t="s">
        <v>942</v>
      </c>
      <c r="N1224" s="141">
        <f t="shared" si="40"/>
        <v>968</v>
      </c>
    </row>
    <row r="1225" spans="1:14" ht="15">
      <c r="A1225" s="159"/>
      <c r="B1225" s="143" t="str">
        <f t="shared" si="39"/>
        <v>969.</v>
      </c>
      <c r="C1225" s="205" t="s">
        <v>938</v>
      </c>
      <c r="D1225" s="162"/>
      <c r="E1225" s="163"/>
      <c r="F1225" s="159"/>
      <c r="G1225" s="164"/>
      <c r="H1225" s="204" t="s">
        <v>940</v>
      </c>
      <c r="I1225" s="211">
        <v>2024</v>
      </c>
      <c r="J1225" s="208">
        <v>3030</v>
      </c>
      <c r="K1225" s="159"/>
      <c r="L1225" s="204" t="s">
        <v>942</v>
      </c>
      <c r="N1225" s="141">
        <f t="shared" si="40"/>
        <v>969</v>
      </c>
    </row>
    <row r="1226" spans="1:14" ht="15">
      <c r="A1226" s="159"/>
      <c r="B1226" s="143" t="str">
        <f t="shared" si="39"/>
        <v>970.</v>
      </c>
      <c r="C1226" s="205" t="s">
        <v>938</v>
      </c>
      <c r="D1226" s="162"/>
      <c r="E1226" s="163"/>
      <c r="F1226" s="159"/>
      <c r="G1226" s="164"/>
      <c r="H1226" s="204" t="s">
        <v>940</v>
      </c>
      <c r="I1226" s="211">
        <v>2024</v>
      </c>
      <c r="J1226" s="208">
        <v>7144</v>
      </c>
      <c r="K1226" s="159"/>
      <c r="L1226" s="204" t="s">
        <v>942</v>
      </c>
      <c r="N1226" s="141">
        <f t="shared" si="40"/>
        <v>970</v>
      </c>
    </row>
    <row r="1227" spans="1:14" ht="15">
      <c r="A1227" s="159"/>
      <c r="B1227" s="143" t="str">
        <f t="shared" si="39"/>
        <v>971.</v>
      </c>
      <c r="C1227" s="205" t="s">
        <v>938</v>
      </c>
      <c r="D1227" s="162"/>
      <c r="E1227" s="163"/>
      <c r="F1227" s="159"/>
      <c r="G1227" s="164"/>
      <c r="H1227" s="204" t="s">
        <v>940</v>
      </c>
      <c r="I1227" s="211">
        <v>2024</v>
      </c>
      <c r="J1227" s="208">
        <v>4162</v>
      </c>
      <c r="K1227" s="159"/>
      <c r="L1227" s="204" t="s">
        <v>942</v>
      </c>
      <c r="N1227" s="141">
        <f t="shared" si="40"/>
        <v>971</v>
      </c>
    </row>
    <row r="1228" spans="1:14" ht="15">
      <c r="A1228" s="159"/>
      <c r="B1228" s="143" t="str">
        <f t="shared" si="39"/>
        <v>972.</v>
      </c>
      <c r="C1228" s="205" t="s">
        <v>938</v>
      </c>
      <c r="D1228" s="162"/>
      <c r="E1228" s="163"/>
      <c r="F1228" s="159"/>
      <c r="G1228" s="164"/>
      <c r="H1228" s="204" t="s">
        <v>940</v>
      </c>
      <c r="I1228" s="211">
        <v>2024</v>
      </c>
      <c r="J1228" s="208">
        <v>3882</v>
      </c>
      <c r="K1228" s="159"/>
      <c r="L1228" s="204" t="s">
        <v>942</v>
      </c>
      <c r="N1228" s="141">
        <f t="shared" si="40"/>
        <v>972</v>
      </c>
    </row>
    <row r="1229" spans="1:14" ht="15">
      <c r="A1229" s="159"/>
      <c r="B1229" s="143" t="str">
        <f t="shared" si="39"/>
        <v>973.</v>
      </c>
      <c r="C1229" s="205" t="s">
        <v>938</v>
      </c>
      <c r="D1229" s="162"/>
      <c r="E1229" s="163"/>
      <c r="F1229" s="159"/>
      <c r="G1229" s="164"/>
      <c r="H1229" s="204" t="s">
        <v>940</v>
      </c>
      <c r="I1229" s="211">
        <v>2024</v>
      </c>
      <c r="J1229" s="208">
        <v>3882</v>
      </c>
      <c r="K1229" s="159"/>
      <c r="L1229" s="204" t="s">
        <v>942</v>
      </c>
      <c r="N1229" s="141">
        <f t="shared" si="40"/>
        <v>973</v>
      </c>
    </row>
    <row r="1230" spans="1:14" ht="15">
      <c r="A1230" s="159"/>
      <c r="B1230" s="143" t="str">
        <f t="shared" si="39"/>
        <v>974.</v>
      </c>
      <c r="C1230" s="205" t="s">
        <v>938</v>
      </c>
      <c r="D1230" s="162"/>
      <c r="E1230" s="163"/>
      <c r="F1230" s="159"/>
      <c r="G1230" s="164"/>
      <c r="H1230" s="204" t="s">
        <v>940</v>
      </c>
      <c r="I1230" s="211">
        <v>2024</v>
      </c>
      <c r="J1230" s="208">
        <v>3882</v>
      </c>
      <c r="K1230" s="159"/>
      <c r="L1230" s="204" t="s">
        <v>942</v>
      </c>
      <c r="N1230" s="141">
        <f t="shared" si="40"/>
        <v>974</v>
      </c>
    </row>
    <row r="1231" spans="1:14" ht="15">
      <c r="A1231" s="159"/>
      <c r="B1231" s="143" t="str">
        <f t="shared" si="39"/>
        <v>975.</v>
      </c>
      <c r="C1231" s="205" t="s">
        <v>938</v>
      </c>
      <c r="D1231" s="162"/>
      <c r="E1231" s="163"/>
      <c r="F1231" s="159"/>
      <c r="G1231" s="164"/>
      <c r="H1231" s="204" t="s">
        <v>940</v>
      </c>
      <c r="I1231" s="211">
        <v>2024</v>
      </c>
      <c r="J1231" s="208">
        <v>3882</v>
      </c>
      <c r="K1231" s="159"/>
      <c r="L1231" s="204" t="s">
        <v>942</v>
      </c>
      <c r="N1231" s="141">
        <f t="shared" si="40"/>
        <v>975</v>
      </c>
    </row>
    <row r="1232" spans="1:14" ht="15">
      <c r="A1232" s="159"/>
      <c r="B1232" s="143" t="str">
        <f t="shared" si="39"/>
        <v>976.</v>
      </c>
      <c r="C1232" s="205" t="s">
        <v>938</v>
      </c>
      <c r="D1232" s="162"/>
      <c r="E1232" s="163"/>
      <c r="F1232" s="159"/>
      <c r="G1232" s="164"/>
      <c r="H1232" s="204" t="s">
        <v>940</v>
      </c>
      <c r="I1232" s="211">
        <v>2024</v>
      </c>
      <c r="J1232" s="208">
        <v>3882</v>
      </c>
      <c r="K1232" s="159"/>
      <c r="L1232" s="204" t="s">
        <v>942</v>
      </c>
      <c r="N1232" s="141">
        <f t="shared" si="40"/>
        <v>976</v>
      </c>
    </row>
    <row r="1233" spans="1:14" ht="15">
      <c r="A1233" s="159"/>
      <c r="B1233" s="143" t="str">
        <f t="shared" si="39"/>
        <v>977.</v>
      </c>
      <c r="C1233" s="205" t="s">
        <v>938</v>
      </c>
      <c r="D1233" s="162"/>
      <c r="E1233" s="163"/>
      <c r="F1233" s="159"/>
      <c r="G1233" s="164"/>
      <c r="H1233" s="204" t="s">
        <v>940</v>
      </c>
      <c r="I1233" s="211">
        <v>2024</v>
      </c>
      <c r="J1233" s="208">
        <v>4162</v>
      </c>
      <c r="K1233" s="159"/>
      <c r="L1233" s="204" t="s">
        <v>942</v>
      </c>
      <c r="N1233" s="141">
        <f t="shared" si="40"/>
        <v>977</v>
      </c>
    </row>
    <row r="1234" spans="1:14" ht="15">
      <c r="A1234" s="159"/>
      <c r="B1234" s="143" t="str">
        <f t="shared" si="39"/>
        <v>978.</v>
      </c>
      <c r="C1234" s="205" t="s">
        <v>938</v>
      </c>
      <c r="D1234" s="162"/>
      <c r="E1234" s="163"/>
      <c r="F1234" s="159"/>
      <c r="G1234" s="164"/>
      <c r="H1234" s="204" t="s">
        <v>940</v>
      </c>
      <c r="I1234" s="211">
        <v>2024</v>
      </c>
      <c r="J1234" s="208">
        <v>4162</v>
      </c>
      <c r="K1234" s="159"/>
      <c r="L1234" s="204" t="s">
        <v>942</v>
      </c>
      <c r="N1234" s="141">
        <f t="shared" si="40"/>
        <v>978</v>
      </c>
    </row>
    <row r="1235" spans="1:14" ht="15">
      <c r="A1235" s="159"/>
      <c r="B1235" s="143" t="str">
        <f t="shared" si="39"/>
        <v>979.</v>
      </c>
      <c r="C1235" s="205" t="s">
        <v>938</v>
      </c>
      <c r="D1235" s="162"/>
      <c r="E1235" s="163"/>
      <c r="F1235" s="159"/>
      <c r="G1235" s="164"/>
      <c r="H1235" s="204" t="s">
        <v>940</v>
      </c>
      <c r="I1235" s="211">
        <v>2024</v>
      </c>
      <c r="J1235" s="208">
        <v>4779</v>
      </c>
      <c r="K1235" s="159"/>
      <c r="L1235" s="204" t="s">
        <v>942</v>
      </c>
      <c r="N1235" s="141">
        <f t="shared" si="40"/>
        <v>979</v>
      </c>
    </row>
    <row r="1236" spans="1:14" ht="15">
      <c r="A1236" s="159"/>
      <c r="B1236" s="143" t="str">
        <f t="shared" si="39"/>
        <v>980.</v>
      </c>
      <c r="C1236" s="205" t="s">
        <v>938</v>
      </c>
      <c r="D1236" s="162"/>
      <c r="E1236" s="163"/>
      <c r="F1236" s="159"/>
      <c r="G1236" s="164"/>
      <c r="H1236" s="204" t="s">
        <v>940</v>
      </c>
      <c r="I1236" s="211">
        <v>2024</v>
      </c>
      <c r="J1236" s="208">
        <v>4162</v>
      </c>
      <c r="K1236" s="159"/>
      <c r="L1236" s="204" t="s">
        <v>942</v>
      </c>
      <c r="N1236" s="141">
        <f t="shared" si="40"/>
        <v>980</v>
      </c>
    </row>
    <row r="1237" spans="1:14" ht="15">
      <c r="A1237" s="159"/>
      <c r="B1237" s="143" t="str">
        <f t="shared" si="39"/>
        <v>981.</v>
      </c>
      <c r="C1237" s="205" t="s">
        <v>938</v>
      </c>
      <c r="D1237" s="162"/>
      <c r="E1237" s="163"/>
      <c r="F1237" s="159"/>
      <c r="G1237" s="164"/>
      <c r="H1237" s="204" t="s">
        <v>940</v>
      </c>
      <c r="I1237" s="211">
        <v>2024</v>
      </c>
      <c r="J1237" s="208">
        <v>3370</v>
      </c>
      <c r="K1237" s="159"/>
      <c r="L1237" s="204" t="s">
        <v>942</v>
      </c>
      <c r="N1237" s="141">
        <f t="shared" si="40"/>
        <v>981</v>
      </c>
    </row>
    <row r="1238" spans="1:14" ht="15">
      <c r="A1238" s="159"/>
      <c r="B1238" s="143" t="str">
        <f t="shared" si="39"/>
        <v>982.</v>
      </c>
      <c r="C1238" s="205" t="s">
        <v>938</v>
      </c>
      <c r="D1238" s="162"/>
      <c r="E1238" s="163"/>
      <c r="F1238" s="159"/>
      <c r="G1238" s="164"/>
      <c r="H1238" s="204" t="s">
        <v>940</v>
      </c>
      <c r="I1238" s="211">
        <v>2024</v>
      </c>
      <c r="J1238" s="208">
        <v>5716</v>
      </c>
      <c r="K1238" s="159"/>
      <c r="L1238" s="204" t="s">
        <v>942</v>
      </c>
      <c r="N1238" s="141">
        <f t="shared" si="40"/>
        <v>982</v>
      </c>
    </row>
    <row r="1239" spans="1:14" ht="15">
      <c r="A1239" s="159"/>
      <c r="B1239" s="143" t="str">
        <f t="shared" si="39"/>
        <v>983.</v>
      </c>
      <c r="C1239" s="205" t="s">
        <v>938</v>
      </c>
      <c r="D1239" s="162"/>
      <c r="E1239" s="163"/>
      <c r="F1239" s="159"/>
      <c r="G1239" s="164"/>
      <c r="H1239" s="204" t="s">
        <v>940</v>
      </c>
      <c r="I1239" s="211">
        <v>2024</v>
      </c>
      <c r="J1239" s="208">
        <v>3370</v>
      </c>
      <c r="K1239" s="159"/>
      <c r="L1239" s="204" t="s">
        <v>942</v>
      </c>
      <c r="N1239" s="141">
        <f t="shared" si="40"/>
        <v>983</v>
      </c>
    </row>
    <row r="1240" spans="1:14" ht="15">
      <c r="A1240" s="159"/>
      <c r="B1240" s="143" t="str">
        <f t="shared" si="39"/>
        <v>984.</v>
      </c>
      <c r="C1240" s="205" t="s">
        <v>938</v>
      </c>
      <c r="D1240" s="162"/>
      <c r="E1240" s="163"/>
      <c r="F1240" s="159"/>
      <c r="G1240" s="164"/>
      <c r="H1240" s="204" t="s">
        <v>940</v>
      </c>
      <c r="I1240" s="211">
        <v>2024</v>
      </c>
      <c r="J1240" s="208">
        <v>3370</v>
      </c>
      <c r="K1240" s="159"/>
      <c r="L1240" s="204" t="s">
        <v>942</v>
      </c>
      <c r="N1240" s="141">
        <f t="shared" si="40"/>
        <v>984</v>
      </c>
    </row>
    <row r="1241" spans="1:14" ht="15">
      <c r="A1241" s="159"/>
      <c r="B1241" s="143" t="str">
        <f t="shared" si="39"/>
        <v>985.</v>
      </c>
      <c r="C1241" s="205" t="s">
        <v>938</v>
      </c>
      <c r="D1241" s="162"/>
      <c r="E1241" s="163"/>
      <c r="F1241" s="159"/>
      <c r="G1241" s="164"/>
      <c r="H1241" s="204" t="s">
        <v>940</v>
      </c>
      <c r="I1241" s="211">
        <v>2024</v>
      </c>
      <c r="J1241" s="208">
        <v>3370</v>
      </c>
      <c r="K1241" s="159"/>
      <c r="L1241" s="204" t="s">
        <v>942</v>
      </c>
      <c r="N1241" s="141">
        <f t="shared" si="40"/>
        <v>985</v>
      </c>
    </row>
    <row r="1242" spans="1:14" ht="15">
      <c r="A1242" s="159"/>
      <c r="B1242" s="143" t="str">
        <f t="shared" si="39"/>
        <v>986.</v>
      </c>
      <c r="C1242" s="205" t="s">
        <v>938</v>
      </c>
      <c r="D1242" s="162"/>
      <c r="E1242" s="163"/>
      <c r="F1242" s="159"/>
      <c r="G1242" s="164"/>
      <c r="H1242" s="204" t="s">
        <v>940</v>
      </c>
      <c r="I1242" s="211">
        <v>2024</v>
      </c>
      <c r="J1242" s="208">
        <v>3370</v>
      </c>
      <c r="K1242" s="159"/>
      <c r="L1242" s="204" t="s">
        <v>942</v>
      </c>
      <c r="N1242" s="141">
        <f t="shared" si="40"/>
        <v>986</v>
      </c>
    </row>
    <row r="1243" spans="1:14" ht="15">
      <c r="A1243" s="159"/>
      <c r="B1243" s="143" t="str">
        <f t="shared" si="39"/>
        <v>987.</v>
      </c>
      <c r="C1243" s="205" t="s">
        <v>938</v>
      </c>
      <c r="D1243" s="162"/>
      <c r="E1243" s="163"/>
      <c r="F1243" s="159"/>
      <c r="G1243" s="164"/>
      <c r="H1243" s="204" t="s">
        <v>940</v>
      </c>
      <c r="I1243" s="211">
        <v>2024</v>
      </c>
      <c r="J1243" s="208">
        <v>4162</v>
      </c>
      <c r="K1243" s="159"/>
      <c r="L1243" s="204" t="s">
        <v>942</v>
      </c>
      <c r="N1243" s="141">
        <f t="shared" si="40"/>
        <v>987</v>
      </c>
    </row>
    <row r="1244" spans="1:14" ht="15">
      <c r="A1244" s="159"/>
      <c r="B1244" s="143" t="str">
        <f t="shared" si="39"/>
        <v>988.</v>
      </c>
      <c r="C1244" s="205" t="s">
        <v>938</v>
      </c>
      <c r="D1244" s="162"/>
      <c r="E1244" s="163"/>
      <c r="F1244" s="159"/>
      <c r="G1244" s="164"/>
      <c r="H1244" s="204" t="s">
        <v>940</v>
      </c>
      <c r="I1244" s="211">
        <v>2024</v>
      </c>
      <c r="J1244" s="208">
        <v>4779</v>
      </c>
      <c r="K1244" s="159"/>
      <c r="L1244" s="204" t="s">
        <v>942</v>
      </c>
      <c r="N1244" s="141">
        <f t="shared" si="40"/>
        <v>988</v>
      </c>
    </row>
    <row r="1245" spans="1:14" ht="15">
      <c r="A1245" s="159"/>
      <c r="B1245" s="143" t="str">
        <f t="shared" si="39"/>
        <v>989.</v>
      </c>
      <c r="C1245" s="205" t="s">
        <v>938</v>
      </c>
      <c r="D1245" s="162"/>
      <c r="E1245" s="163"/>
      <c r="F1245" s="159"/>
      <c r="G1245" s="164"/>
      <c r="H1245" s="204" t="s">
        <v>940</v>
      </c>
      <c r="I1245" s="211">
        <v>2024</v>
      </c>
      <c r="J1245" s="208">
        <v>4162</v>
      </c>
      <c r="K1245" s="159"/>
      <c r="L1245" s="204" t="s">
        <v>942</v>
      </c>
      <c r="N1245" s="141">
        <f t="shared" si="40"/>
        <v>989</v>
      </c>
    </row>
    <row r="1246" spans="1:14" ht="15">
      <c r="A1246" s="159"/>
      <c r="B1246" s="143" t="str">
        <f t="shared" si="39"/>
        <v>990.</v>
      </c>
      <c r="C1246" s="205" t="s">
        <v>938</v>
      </c>
      <c r="D1246" s="162"/>
      <c r="E1246" s="163"/>
      <c r="F1246" s="159"/>
      <c r="G1246" s="164"/>
      <c r="H1246" s="204" t="s">
        <v>940</v>
      </c>
      <c r="I1246" s="211">
        <v>2024</v>
      </c>
      <c r="J1246" s="208">
        <v>3370</v>
      </c>
      <c r="K1246" s="159"/>
      <c r="L1246" s="204" t="s">
        <v>942</v>
      </c>
      <c r="N1246" s="141">
        <f t="shared" si="40"/>
        <v>990</v>
      </c>
    </row>
    <row r="1247" spans="1:14" ht="15">
      <c r="A1247" s="159"/>
      <c r="B1247" s="143" t="str">
        <f t="shared" si="39"/>
        <v>991.</v>
      </c>
      <c r="C1247" s="205" t="s">
        <v>938</v>
      </c>
      <c r="D1247" s="162"/>
      <c r="E1247" s="163"/>
      <c r="F1247" s="159"/>
      <c r="G1247" s="164"/>
      <c r="H1247" s="204" t="s">
        <v>940</v>
      </c>
      <c r="I1247" s="211">
        <v>2024</v>
      </c>
      <c r="J1247" s="208">
        <v>4162</v>
      </c>
      <c r="K1247" s="159"/>
      <c r="L1247" s="204" t="s">
        <v>942</v>
      </c>
      <c r="N1247" s="141">
        <f t="shared" si="40"/>
        <v>991</v>
      </c>
    </row>
    <row r="1248" spans="1:14" ht="15">
      <c r="A1248" s="159"/>
      <c r="B1248" s="143" t="str">
        <f t="shared" si="39"/>
        <v>992.</v>
      </c>
      <c r="C1248" s="205" t="s">
        <v>938</v>
      </c>
      <c r="D1248" s="162"/>
      <c r="E1248" s="163"/>
      <c r="F1248" s="159"/>
      <c r="G1248" s="164"/>
      <c r="H1248" s="204" t="s">
        <v>940</v>
      </c>
      <c r="I1248" s="211">
        <v>2024</v>
      </c>
      <c r="J1248" s="208">
        <v>5290</v>
      </c>
      <c r="K1248" s="159"/>
      <c r="L1248" s="204" t="s">
        <v>942</v>
      </c>
      <c r="N1248" s="141">
        <f t="shared" si="40"/>
        <v>992</v>
      </c>
    </row>
    <row r="1249" spans="1:14" ht="15">
      <c r="A1249" s="159"/>
      <c r="B1249" s="143" t="str">
        <f t="shared" si="39"/>
        <v>993.</v>
      </c>
      <c r="C1249" s="205" t="s">
        <v>938</v>
      </c>
      <c r="D1249" s="162"/>
      <c r="E1249" s="163"/>
      <c r="F1249" s="159"/>
      <c r="G1249" s="164"/>
      <c r="H1249" s="204" t="s">
        <v>940</v>
      </c>
      <c r="I1249" s="211">
        <v>2024</v>
      </c>
      <c r="J1249" s="208">
        <v>4162</v>
      </c>
      <c r="K1249" s="159"/>
      <c r="L1249" s="204" t="s">
        <v>942</v>
      </c>
      <c r="N1249" s="141">
        <f t="shared" si="40"/>
        <v>993</v>
      </c>
    </row>
    <row r="1250" spans="1:14" ht="15">
      <c r="A1250" s="159"/>
      <c r="B1250" s="143" t="str">
        <f t="shared" si="39"/>
        <v>994.</v>
      </c>
      <c r="C1250" s="205" t="s">
        <v>938</v>
      </c>
      <c r="D1250" s="162"/>
      <c r="E1250" s="163"/>
      <c r="F1250" s="159"/>
      <c r="G1250" s="164"/>
      <c r="H1250" s="204" t="s">
        <v>940</v>
      </c>
      <c r="I1250" s="211">
        <v>2024</v>
      </c>
      <c r="J1250" s="208">
        <v>4162</v>
      </c>
      <c r="K1250" s="159"/>
      <c r="L1250" s="204" t="s">
        <v>942</v>
      </c>
      <c r="N1250" s="141">
        <f t="shared" si="40"/>
        <v>994</v>
      </c>
    </row>
    <row r="1251" spans="1:14" ht="15">
      <c r="A1251" s="159"/>
      <c r="B1251" s="143" t="str">
        <f t="shared" si="39"/>
        <v>995.</v>
      </c>
      <c r="C1251" s="205" t="s">
        <v>938</v>
      </c>
      <c r="D1251" s="162"/>
      <c r="E1251" s="163"/>
      <c r="F1251" s="159"/>
      <c r="G1251" s="164"/>
      <c r="H1251" s="204" t="s">
        <v>940</v>
      </c>
      <c r="I1251" s="211">
        <v>2024</v>
      </c>
      <c r="J1251" s="208">
        <v>3882</v>
      </c>
      <c r="K1251" s="159"/>
      <c r="L1251" s="204" t="s">
        <v>942</v>
      </c>
      <c r="N1251" s="141">
        <f t="shared" si="40"/>
        <v>995</v>
      </c>
    </row>
    <row r="1252" spans="1:14" ht="15">
      <c r="A1252" s="159"/>
      <c r="B1252" s="143" t="str">
        <f t="shared" si="39"/>
        <v>996.</v>
      </c>
      <c r="C1252" s="205" t="s">
        <v>938</v>
      </c>
      <c r="D1252" s="162"/>
      <c r="E1252" s="163"/>
      <c r="F1252" s="159"/>
      <c r="G1252" s="164"/>
      <c r="H1252" s="204" t="s">
        <v>940</v>
      </c>
      <c r="I1252" s="211">
        <v>2024</v>
      </c>
      <c r="J1252" s="208">
        <v>3882</v>
      </c>
      <c r="K1252" s="159"/>
      <c r="L1252" s="204" t="s">
        <v>942</v>
      </c>
      <c r="N1252" s="141">
        <f t="shared" si="40"/>
        <v>996</v>
      </c>
    </row>
    <row r="1253" spans="1:14" ht="15">
      <c r="A1253" s="159"/>
      <c r="B1253" s="143" t="str">
        <f t="shared" si="39"/>
        <v>997.</v>
      </c>
      <c r="C1253" s="205" t="s">
        <v>938</v>
      </c>
      <c r="D1253" s="162"/>
      <c r="E1253" s="163"/>
      <c r="F1253" s="159"/>
      <c r="G1253" s="164"/>
      <c r="H1253" s="204" t="s">
        <v>940</v>
      </c>
      <c r="I1253" s="211">
        <v>2024</v>
      </c>
      <c r="J1253" s="208">
        <v>3370</v>
      </c>
      <c r="K1253" s="159"/>
      <c r="L1253" s="204" t="s">
        <v>942</v>
      </c>
      <c r="N1253" s="141">
        <f t="shared" si="40"/>
        <v>997</v>
      </c>
    </row>
    <row r="1254" spans="1:14" ht="15">
      <c r="A1254" s="159"/>
      <c r="B1254" s="143" t="str">
        <f t="shared" si="39"/>
        <v>998.</v>
      </c>
      <c r="C1254" s="205" t="s">
        <v>938</v>
      </c>
      <c r="D1254" s="162"/>
      <c r="E1254" s="163"/>
      <c r="F1254" s="159"/>
      <c r="G1254" s="164"/>
      <c r="H1254" s="204" t="s">
        <v>940</v>
      </c>
      <c r="I1254" s="211">
        <v>2024</v>
      </c>
      <c r="J1254" s="208">
        <v>3370</v>
      </c>
      <c r="K1254" s="159"/>
      <c r="L1254" s="204" t="s">
        <v>942</v>
      </c>
      <c r="N1254" s="141">
        <f t="shared" si="40"/>
        <v>998</v>
      </c>
    </row>
    <row r="1255" spans="1:14" ht="15">
      <c r="A1255" s="159"/>
      <c r="B1255" s="143" t="str">
        <f t="shared" si="39"/>
        <v>999.</v>
      </c>
      <c r="C1255" s="205" t="s">
        <v>938</v>
      </c>
      <c r="D1255" s="162"/>
      <c r="E1255" s="163"/>
      <c r="F1255" s="159"/>
      <c r="G1255" s="164"/>
      <c r="H1255" s="204" t="s">
        <v>940</v>
      </c>
      <c r="I1255" s="211">
        <v>2024</v>
      </c>
      <c r="J1255" s="208">
        <v>3882</v>
      </c>
      <c r="K1255" s="159"/>
      <c r="L1255" s="204" t="s">
        <v>942</v>
      </c>
      <c r="N1255" s="141">
        <f t="shared" si="40"/>
        <v>999</v>
      </c>
    </row>
    <row r="1256" spans="1:14" ht="15">
      <c r="A1256" s="159"/>
      <c r="B1256" s="143" t="str">
        <f t="shared" si="39"/>
        <v>1000.</v>
      </c>
      <c r="C1256" s="205" t="s">
        <v>938</v>
      </c>
      <c r="D1256" s="162"/>
      <c r="E1256" s="163"/>
      <c r="F1256" s="159"/>
      <c r="G1256" s="164"/>
      <c r="H1256" s="204" t="s">
        <v>940</v>
      </c>
      <c r="I1256" s="211">
        <v>2024</v>
      </c>
      <c r="J1256" s="208">
        <v>4162</v>
      </c>
      <c r="K1256" s="159"/>
      <c r="L1256" s="204" t="s">
        <v>942</v>
      </c>
      <c r="N1256" s="141">
        <f t="shared" si="40"/>
        <v>1000</v>
      </c>
    </row>
    <row r="1257" spans="1:14" ht="15">
      <c r="A1257" s="159"/>
      <c r="B1257" s="143" t="str">
        <f t="shared" si="39"/>
        <v>1001.</v>
      </c>
      <c r="C1257" s="205" t="s">
        <v>938</v>
      </c>
      <c r="D1257" s="162"/>
      <c r="E1257" s="163"/>
      <c r="F1257" s="159"/>
      <c r="G1257" s="164"/>
      <c r="H1257" s="204" t="s">
        <v>940</v>
      </c>
      <c r="I1257" s="211">
        <v>2024</v>
      </c>
      <c r="J1257" s="208">
        <v>3370</v>
      </c>
      <c r="K1257" s="159"/>
      <c r="L1257" s="204" t="s">
        <v>942</v>
      </c>
      <c r="N1257" s="141">
        <f t="shared" si="40"/>
        <v>1001</v>
      </c>
    </row>
    <row r="1258" spans="1:14" ht="15">
      <c r="A1258" s="159"/>
      <c r="B1258" s="143" t="str">
        <f t="shared" si="39"/>
        <v>1002.</v>
      </c>
      <c r="C1258" s="205" t="s">
        <v>938</v>
      </c>
      <c r="D1258" s="162"/>
      <c r="E1258" s="163"/>
      <c r="F1258" s="159"/>
      <c r="G1258" s="164"/>
      <c r="H1258" s="204" t="s">
        <v>940</v>
      </c>
      <c r="I1258" s="211">
        <v>2024</v>
      </c>
      <c r="J1258" s="208">
        <v>4162</v>
      </c>
      <c r="K1258" s="159"/>
      <c r="L1258" s="204" t="s">
        <v>942</v>
      </c>
      <c r="N1258" s="141">
        <f t="shared" si="40"/>
        <v>1002</v>
      </c>
    </row>
    <row r="1259" spans="1:14" ht="15">
      <c r="A1259" s="159"/>
      <c r="B1259" s="143" t="str">
        <f t="shared" si="39"/>
        <v>1003.</v>
      </c>
      <c r="C1259" s="205" t="s">
        <v>938</v>
      </c>
      <c r="D1259" s="162"/>
      <c r="E1259" s="163"/>
      <c r="F1259" s="159"/>
      <c r="G1259" s="164"/>
      <c r="H1259" s="204" t="s">
        <v>940</v>
      </c>
      <c r="I1259" s="211">
        <v>2024</v>
      </c>
      <c r="J1259" s="208">
        <v>4162</v>
      </c>
      <c r="K1259" s="159"/>
      <c r="L1259" s="204" t="s">
        <v>942</v>
      </c>
      <c r="N1259" s="141">
        <f t="shared" si="40"/>
        <v>1003</v>
      </c>
    </row>
    <row r="1260" spans="1:14" ht="15">
      <c r="A1260" s="159"/>
      <c r="B1260" s="143" t="str">
        <f t="shared" si="39"/>
        <v>1004.</v>
      </c>
      <c r="C1260" s="205" t="s">
        <v>938</v>
      </c>
      <c r="D1260" s="162"/>
      <c r="E1260" s="163"/>
      <c r="F1260" s="159"/>
      <c r="G1260" s="164"/>
      <c r="H1260" s="204" t="s">
        <v>940</v>
      </c>
      <c r="I1260" s="211">
        <v>2024</v>
      </c>
      <c r="J1260" s="208">
        <v>3370</v>
      </c>
      <c r="K1260" s="159"/>
      <c r="L1260" s="204" t="s">
        <v>942</v>
      </c>
      <c r="N1260" s="141">
        <f t="shared" si="40"/>
        <v>1004</v>
      </c>
    </row>
    <row r="1261" spans="1:14" ht="15">
      <c r="A1261" s="159"/>
      <c r="B1261" s="143" t="str">
        <f t="shared" si="39"/>
        <v>1005.</v>
      </c>
      <c r="C1261" s="205" t="s">
        <v>938</v>
      </c>
      <c r="D1261" s="162"/>
      <c r="E1261" s="163"/>
      <c r="F1261" s="159"/>
      <c r="G1261" s="164"/>
      <c r="H1261" s="204" t="s">
        <v>940</v>
      </c>
      <c r="I1261" s="211">
        <v>2024</v>
      </c>
      <c r="J1261" s="208">
        <v>4162</v>
      </c>
      <c r="K1261" s="159"/>
      <c r="L1261" s="204" t="s">
        <v>942</v>
      </c>
      <c r="N1261" s="141">
        <f t="shared" si="40"/>
        <v>1005</v>
      </c>
    </row>
    <row r="1262" spans="1:14" ht="15">
      <c r="A1262" s="159"/>
      <c r="B1262" s="143" t="str">
        <f t="shared" si="39"/>
        <v>1006.</v>
      </c>
      <c r="C1262" s="205" t="s">
        <v>938</v>
      </c>
      <c r="D1262" s="162"/>
      <c r="E1262" s="163"/>
      <c r="F1262" s="159"/>
      <c r="G1262" s="164"/>
      <c r="H1262" s="204" t="s">
        <v>940</v>
      </c>
      <c r="I1262" s="211">
        <v>2024</v>
      </c>
      <c r="J1262" s="208">
        <v>3370</v>
      </c>
      <c r="K1262" s="159"/>
      <c r="L1262" s="204" t="s">
        <v>942</v>
      </c>
      <c r="N1262" s="141">
        <f t="shared" si="40"/>
        <v>1006</v>
      </c>
    </row>
    <row r="1263" spans="1:14" ht="15">
      <c r="A1263" s="159"/>
      <c r="B1263" s="143" t="str">
        <f t="shared" si="39"/>
        <v>1007.</v>
      </c>
      <c r="C1263" s="205" t="s">
        <v>938</v>
      </c>
      <c r="D1263" s="162"/>
      <c r="E1263" s="163"/>
      <c r="F1263" s="159"/>
      <c r="G1263" s="164"/>
      <c r="H1263" s="204" t="s">
        <v>940</v>
      </c>
      <c r="I1263" s="211">
        <v>2024</v>
      </c>
      <c r="J1263" s="208">
        <v>3882</v>
      </c>
      <c r="K1263" s="159"/>
      <c r="L1263" s="204" t="s">
        <v>942</v>
      </c>
      <c r="N1263" s="141">
        <f t="shared" si="40"/>
        <v>1007</v>
      </c>
    </row>
    <row r="1264" spans="1:14" ht="15">
      <c r="A1264" s="159"/>
      <c r="B1264" s="143" t="str">
        <f t="shared" si="39"/>
        <v>1008.</v>
      </c>
      <c r="C1264" s="205" t="s">
        <v>938</v>
      </c>
      <c r="D1264" s="162"/>
      <c r="E1264" s="163"/>
      <c r="F1264" s="159"/>
      <c r="G1264" s="164"/>
      <c r="H1264" s="204" t="s">
        <v>940</v>
      </c>
      <c r="I1264" s="211">
        <v>2024</v>
      </c>
      <c r="J1264" s="208">
        <v>4779</v>
      </c>
      <c r="K1264" s="159"/>
      <c r="L1264" s="204" t="s">
        <v>942</v>
      </c>
      <c r="N1264" s="141">
        <f t="shared" si="40"/>
        <v>1008</v>
      </c>
    </row>
    <row r="1265" spans="1:14" ht="15">
      <c r="A1265" s="159"/>
      <c r="B1265" s="143" t="str">
        <f t="shared" si="39"/>
        <v>1009.</v>
      </c>
      <c r="C1265" s="205" t="s">
        <v>938</v>
      </c>
      <c r="D1265" s="162"/>
      <c r="E1265" s="163"/>
      <c r="F1265" s="159"/>
      <c r="G1265" s="164"/>
      <c r="H1265" s="204" t="s">
        <v>940</v>
      </c>
      <c r="I1265" s="211">
        <v>2024</v>
      </c>
      <c r="J1265" s="208">
        <v>4779</v>
      </c>
      <c r="K1265" s="159"/>
      <c r="L1265" s="204" t="s">
        <v>942</v>
      </c>
      <c r="N1265" s="141">
        <f t="shared" si="40"/>
        <v>1009</v>
      </c>
    </row>
    <row r="1266" spans="1:14" ht="15">
      <c r="A1266" s="159"/>
      <c r="B1266" s="143" t="str">
        <f t="shared" si="39"/>
        <v>1010.</v>
      </c>
      <c r="C1266" s="205" t="s">
        <v>938</v>
      </c>
      <c r="D1266" s="162"/>
      <c r="E1266" s="163"/>
      <c r="F1266" s="159"/>
      <c r="G1266" s="164"/>
      <c r="H1266" s="204" t="s">
        <v>940</v>
      </c>
      <c r="I1266" s="211">
        <v>2024</v>
      </c>
      <c r="J1266" s="208">
        <v>4162</v>
      </c>
      <c r="K1266" s="159"/>
      <c r="L1266" s="204" t="s">
        <v>942</v>
      </c>
      <c r="N1266" s="141">
        <f t="shared" si="40"/>
        <v>1010</v>
      </c>
    </row>
    <row r="1267" spans="1:14" ht="15">
      <c r="A1267" s="159"/>
      <c r="B1267" s="143" t="str">
        <f t="shared" si="39"/>
        <v>1011.</v>
      </c>
      <c r="C1267" s="205" t="s">
        <v>938</v>
      </c>
      <c r="D1267" s="162"/>
      <c r="E1267" s="163"/>
      <c r="F1267" s="159"/>
      <c r="G1267" s="164"/>
      <c r="H1267" s="204" t="s">
        <v>940</v>
      </c>
      <c r="I1267" s="211">
        <v>2024</v>
      </c>
      <c r="J1267" s="208">
        <v>4162</v>
      </c>
      <c r="K1267" s="159"/>
      <c r="L1267" s="204" t="s">
        <v>942</v>
      </c>
      <c r="N1267" s="141">
        <f t="shared" si="40"/>
        <v>1011</v>
      </c>
    </row>
    <row r="1268" spans="1:14" ht="15">
      <c r="A1268" s="159"/>
      <c r="B1268" s="143" t="str">
        <f t="shared" si="39"/>
        <v>1012.</v>
      </c>
      <c r="C1268" s="205" t="s">
        <v>938</v>
      </c>
      <c r="D1268" s="162"/>
      <c r="E1268" s="163"/>
      <c r="F1268" s="159"/>
      <c r="G1268" s="164"/>
      <c r="H1268" s="204" t="s">
        <v>940</v>
      </c>
      <c r="I1268" s="211">
        <v>2024</v>
      </c>
      <c r="J1268" s="208">
        <v>4779</v>
      </c>
      <c r="K1268" s="159"/>
      <c r="L1268" s="204" t="s">
        <v>942</v>
      </c>
      <c r="N1268" s="141">
        <f t="shared" si="40"/>
        <v>1012</v>
      </c>
    </row>
    <row r="1269" spans="1:14" ht="15">
      <c r="A1269" s="159"/>
      <c r="B1269" s="143" t="str">
        <f t="shared" si="39"/>
        <v>1013.</v>
      </c>
      <c r="C1269" s="205" t="s">
        <v>938</v>
      </c>
      <c r="D1269" s="162"/>
      <c r="E1269" s="163"/>
      <c r="F1269" s="159"/>
      <c r="G1269" s="164"/>
      <c r="H1269" s="204" t="s">
        <v>940</v>
      </c>
      <c r="I1269" s="211">
        <v>2024</v>
      </c>
      <c r="J1269" s="208">
        <v>4162</v>
      </c>
      <c r="K1269" s="159"/>
      <c r="L1269" s="204" t="s">
        <v>942</v>
      </c>
      <c r="N1269" s="141">
        <f t="shared" si="40"/>
        <v>1013</v>
      </c>
    </row>
    <row r="1270" spans="1:14" ht="15">
      <c r="A1270" s="159"/>
      <c r="B1270" s="143" t="str">
        <f t="shared" si="39"/>
        <v>1014.</v>
      </c>
      <c r="C1270" s="205" t="s">
        <v>938</v>
      </c>
      <c r="D1270" s="162"/>
      <c r="E1270" s="163"/>
      <c r="F1270" s="159"/>
      <c r="G1270" s="164"/>
      <c r="H1270" s="204" t="s">
        <v>940</v>
      </c>
      <c r="I1270" s="211">
        <v>2024</v>
      </c>
      <c r="J1270" s="208">
        <v>3370</v>
      </c>
      <c r="K1270" s="159"/>
      <c r="L1270" s="204" t="s">
        <v>942</v>
      </c>
      <c r="N1270" s="141">
        <f t="shared" si="40"/>
        <v>1014</v>
      </c>
    </row>
    <row r="1271" spans="1:14" ht="15">
      <c r="A1271" s="159"/>
      <c r="B1271" s="143" t="str">
        <f t="shared" si="39"/>
        <v>1015.</v>
      </c>
      <c r="C1271" s="205" t="s">
        <v>938</v>
      </c>
      <c r="D1271" s="162"/>
      <c r="E1271" s="163"/>
      <c r="F1271" s="159"/>
      <c r="G1271" s="164"/>
      <c r="H1271" s="204" t="s">
        <v>940</v>
      </c>
      <c r="I1271" s="211">
        <v>2024</v>
      </c>
      <c r="J1271" s="208">
        <v>3370</v>
      </c>
      <c r="K1271" s="159"/>
      <c r="L1271" s="204" t="s">
        <v>942</v>
      </c>
      <c r="N1271" s="141">
        <f t="shared" si="40"/>
        <v>1015</v>
      </c>
    </row>
    <row r="1272" spans="1:14" ht="15">
      <c r="A1272" s="159"/>
      <c r="B1272" s="143" t="str">
        <f t="shared" si="39"/>
        <v>1016.</v>
      </c>
      <c r="C1272" s="205" t="s">
        <v>938</v>
      </c>
      <c r="D1272" s="162"/>
      <c r="E1272" s="163"/>
      <c r="F1272" s="159"/>
      <c r="G1272" s="164"/>
      <c r="H1272" s="204" t="s">
        <v>940</v>
      </c>
      <c r="I1272" s="211">
        <v>2024</v>
      </c>
      <c r="J1272" s="208">
        <v>3370</v>
      </c>
      <c r="K1272" s="159"/>
      <c r="L1272" s="204" t="s">
        <v>942</v>
      </c>
      <c r="N1272" s="141">
        <f t="shared" si="40"/>
        <v>1016</v>
      </c>
    </row>
    <row r="1273" spans="1:14" ht="15">
      <c r="A1273" s="159"/>
      <c r="B1273" s="143" t="str">
        <f t="shared" si="39"/>
        <v>1017.</v>
      </c>
      <c r="C1273" s="205" t="s">
        <v>938</v>
      </c>
      <c r="D1273" s="162"/>
      <c r="E1273" s="163"/>
      <c r="F1273" s="159"/>
      <c r="G1273" s="164"/>
      <c r="H1273" s="204" t="s">
        <v>940</v>
      </c>
      <c r="I1273" s="211">
        <v>2024</v>
      </c>
      <c r="J1273" s="208">
        <v>3882</v>
      </c>
      <c r="K1273" s="159"/>
      <c r="L1273" s="204" t="s">
        <v>942</v>
      </c>
      <c r="N1273" s="141">
        <f t="shared" si="40"/>
        <v>1017</v>
      </c>
    </row>
    <row r="1274" spans="1:14" ht="15">
      <c r="A1274" s="159"/>
      <c r="B1274" s="143" t="str">
        <f t="shared" si="39"/>
        <v>1018.</v>
      </c>
      <c r="C1274" s="205" t="s">
        <v>938</v>
      </c>
      <c r="D1274" s="162"/>
      <c r="E1274" s="163"/>
      <c r="F1274" s="159"/>
      <c r="G1274" s="164"/>
      <c r="H1274" s="204" t="s">
        <v>940</v>
      </c>
      <c r="I1274" s="211">
        <v>2024</v>
      </c>
      <c r="J1274" s="208">
        <v>4162</v>
      </c>
      <c r="K1274" s="159"/>
      <c r="L1274" s="204" t="s">
        <v>942</v>
      </c>
      <c r="N1274" s="141">
        <f t="shared" si="40"/>
        <v>1018</v>
      </c>
    </row>
    <row r="1275" spans="1:14" ht="15">
      <c r="A1275" s="159"/>
      <c r="B1275" s="143" t="str">
        <f t="shared" si="39"/>
        <v>1019.</v>
      </c>
      <c r="C1275" s="205" t="s">
        <v>938</v>
      </c>
      <c r="D1275" s="162"/>
      <c r="E1275" s="163"/>
      <c r="F1275" s="159"/>
      <c r="G1275" s="164"/>
      <c r="H1275" s="204" t="s">
        <v>940</v>
      </c>
      <c r="I1275" s="211">
        <v>2024</v>
      </c>
      <c r="J1275" s="208">
        <v>4162</v>
      </c>
      <c r="K1275" s="159"/>
      <c r="L1275" s="204" t="s">
        <v>942</v>
      </c>
      <c r="N1275" s="141">
        <f t="shared" si="40"/>
        <v>1019</v>
      </c>
    </row>
    <row r="1276" spans="1:14" ht="15">
      <c r="A1276" s="159"/>
      <c r="B1276" s="143" t="str">
        <f t="shared" si="39"/>
        <v>1020.</v>
      </c>
      <c r="C1276" s="205" t="s">
        <v>938</v>
      </c>
      <c r="D1276" s="162"/>
      <c r="E1276" s="163"/>
      <c r="F1276" s="159"/>
      <c r="G1276" s="164"/>
      <c r="H1276" s="204" t="s">
        <v>940</v>
      </c>
      <c r="I1276" s="211">
        <v>2024</v>
      </c>
      <c r="J1276" s="208">
        <v>4162</v>
      </c>
      <c r="K1276" s="159"/>
      <c r="L1276" s="204" t="s">
        <v>942</v>
      </c>
      <c r="N1276" s="141">
        <f t="shared" si="40"/>
        <v>1020</v>
      </c>
    </row>
    <row r="1277" spans="1:14" ht="15">
      <c r="A1277" s="159"/>
      <c r="B1277" s="143" t="str">
        <f t="shared" si="39"/>
        <v>1021.</v>
      </c>
      <c r="C1277" s="205" t="s">
        <v>938</v>
      </c>
      <c r="D1277" s="162"/>
      <c r="E1277" s="163"/>
      <c r="F1277" s="159"/>
      <c r="G1277" s="164"/>
      <c r="H1277" s="204" t="s">
        <v>940</v>
      </c>
      <c r="I1277" s="211">
        <v>2024</v>
      </c>
      <c r="J1277" s="208">
        <v>4779</v>
      </c>
      <c r="K1277" s="159"/>
      <c r="L1277" s="204" t="s">
        <v>942</v>
      </c>
      <c r="N1277" s="141">
        <f t="shared" si="40"/>
        <v>1021</v>
      </c>
    </row>
    <row r="1278" spans="1:14" ht="15">
      <c r="A1278" s="159"/>
      <c r="B1278" s="143" t="str">
        <f t="shared" si="39"/>
        <v>1022.</v>
      </c>
      <c r="C1278" s="205" t="s">
        <v>938</v>
      </c>
      <c r="D1278" s="162"/>
      <c r="E1278" s="163"/>
      <c r="F1278" s="159"/>
      <c r="G1278" s="164"/>
      <c r="H1278" s="204" t="s">
        <v>940</v>
      </c>
      <c r="I1278" s="211">
        <v>2024</v>
      </c>
      <c r="J1278" s="208">
        <v>4162</v>
      </c>
      <c r="K1278" s="159"/>
      <c r="L1278" s="204" t="s">
        <v>942</v>
      </c>
      <c r="N1278" s="141">
        <f t="shared" si="40"/>
        <v>1022</v>
      </c>
    </row>
    <row r="1279" spans="1:14" ht="15">
      <c r="A1279" s="159"/>
      <c r="B1279" s="143" t="str">
        <f t="shared" si="39"/>
        <v>1023.</v>
      </c>
      <c r="C1279" s="205" t="s">
        <v>938</v>
      </c>
      <c r="D1279" s="162"/>
      <c r="E1279" s="163"/>
      <c r="F1279" s="159"/>
      <c r="G1279" s="164"/>
      <c r="H1279" s="204" t="s">
        <v>940</v>
      </c>
      <c r="I1279" s="211">
        <v>2024</v>
      </c>
      <c r="J1279" s="208">
        <v>3370</v>
      </c>
      <c r="K1279" s="159"/>
      <c r="L1279" s="204" t="s">
        <v>942</v>
      </c>
      <c r="N1279" s="141">
        <f t="shared" si="40"/>
        <v>1023</v>
      </c>
    </row>
    <row r="1280" spans="1:14" ht="15">
      <c r="A1280" s="159"/>
      <c r="B1280" s="143" t="str">
        <f t="shared" si="39"/>
        <v>1024.</v>
      </c>
      <c r="C1280" s="205" t="s">
        <v>938</v>
      </c>
      <c r="D1280" s="162"/>
      <c r="E1280" s="163"/>
      <c r="F1280" s="159"/>
      <c r="G1280" s="164"/>
      <c r="H1280" s="204" t="s">
        <v>940</v>
      </c>
      <c r="I1280" s="211">
        <v>2024</v>
      </c>
      <c r="J1280" s="208">
        <v>4162</v>
      </c>
      <c r="K1280" s="159"/>
      <c r="L1280" s="204" t="s">
        <v>942</v>
      </c>
      <c r="N1280" s="141">
        <f t="shared" si="40"/>
        <v>1024</v>
      </c>
    </row>
    <row r="1281" spans="1:14" ht="15">
      <c r="A1281" s="159"/>
      <c r="B1281" s="143" t="str">
        <f t="shared" ref="B1281:B1344" si="41">N1281&amp;"."</f>
        <v>1025.</v>
      </c>
      <c r="C1281" s="205" t="s">
        <v>938</v>
      </c>
      <c r="D1281" s="162"/>
      <c r="E1281" s="163"/>
      <c r="F1281" s="159"/>
      <c r="G1281" s="164"/>
      <c r="H1281" s="204" t="s">
        <v>940</v>
      </c>
      <c r="I1281" s="211">
        <v>2024</v>
      </c>
      <c r="J1281" s="208">
        <v>5290</v>
      </c>
      <c r="K1281" s="159"/>
      <c r="L1281" s="204" t="s">
        <v>942</v>
      </c>
      <c r="N1281" s="141">
        <f t="shared" si="40"/>
        <v>1025</v>
      </c>
    </row>
    <row r="1282" spans="1:14" ht="15">
      <c r="A1282" s="159"/>
      <c r="B1282" s="143" t="str">
        <f t="shared" si="41"/>
        <v>1026.</v>
      </c>
      <c r="C1282" s="205" t="s">
        <v>938</v>
      </c>
      <c r="D1282" s="162"/>
      <c r="E1282" s="163"/>
      <c r="F1282" s="159"/>
      <c r="G1282" s="164"/>
      <c r="H1282" s="204" t="s">
        <v>940</v>
      </c>
      <c r="I1282" s="211">
        <v>2024</v>
      </c>
      <c r="J1282" s="208">
        <v>3370</v>
      </c>
      <c r="K1282" s="159"/>
      <c r="L1282" s="204" t="s">
        <v>942</v>
      </c>
      <c r="N1282" s="141">
        <f t="shared" si="40"/>
        <v>1026</v>
      </c>
    </row>
    <row r="1283" spans="1:14" ht="15">
      <c r="A1283" s="159"/>
      <c r="B1283" s="143" t="str">
        <f t="shared" si="41"/>
        <v>1027.</v>
      </c>
      <c r="C1283" s="205" t="s">
        <v>938</v>
      </c>
      <c r="D1283" s="162"/>
      <c r="E1283" s="163"/>
      <c r="F1283" s="159"/>
      <c r="G1283" s="164"/>
      <c r="H1283" s="204" t="s">
        <v>940</v>
      </c>
      <c r="I1283" s="211">
        <v>2024</v>
      </c>
      <c r="J1283" s="208">
        <v>3370</v>
      </c>
      <c r="K1283" s="159"/>
      <c r="L1283" s="204" t="s">
        <v>942</v>
      </c>
      <c r="N1283" s="141">
        <f t="shared" ref="N1283:N1346" si="42">N1282+1</f>
        <v>1027</v>
      </c>
    </row>
    <row r="1284" spans="1:14" ht="15">
      <c r="A1284" s="159"/>
      <c r="B1284" s="143" t="str">
        <f t="shared" si="41"/>
        <v>1028.</v>
      </c>
      <c r="C1284" s="205" t="s">
        <v>938</v>
      </c>
      <c r="D1284" s="162"/>
      <c r="E1284" s="163"/>
      <c r="F1284" s="159"/>
      <c r="G1284" s="164"/>
      <c r="H1284" s="204" t="s">
        <v>940</v>
      </c>
      <c r="I1284" s="211">
        <v>2024</v>
      </c>
      <c r="J1284" s="208">
        <v>3370</v>
      </c>
      <c r="K1284" s="159"/>
      <c r="L1284" s="204" t="s">
        <v>942</v>
      </c>
      <c r="N1284" s="141">
        <f t="shared" si="42"/>
        <v>1028</v>
      </c>
    </row>
    <row r="1285" spans="1:14" ht="15">
      <c r="A1285" s="159"/>
      <c r="B1285" s="143" t="str">
        <f t="shared" si="41"/>
        <v>1029.</v>
      </c>
      <c r="C1285" s="205" t="s">
        <v>938</v>
      </c>
      <c r="D1285" s="162"/>
      <c r="E1285" s="163"/>
      <c r="F1285" s="159"/>
      <c r="G1285" s="164"/>
      <c r="H1285" s="204" t="s">
        <v>940</v>
      </c>
      <c r="I1285" s="211">
        <v>2024</v>
      </c>
      <c r="J1285" s="208">
        <v>2854</v>
      </c>
      <c r="K1285" s="159"/>
      <c r="L1285" s="204" t="s">
        <v>942</v>
      </c>
      <c r="N1285" s="141">
        <f t="shared" si="42"/>
        <v>1029</v>
      </c>
    </row>
    <row r="1286" spans="1:14" ht="15">
      <c r="A1286" s="159"/>
      <c r="B1286" s="143" t="str">
        <f t="shared" si="41"/>
        <v>1030.</v>
      </c>
      <c r="C1286" s="205" t="s">
        <v>938</v>
      </c>
      <c r="D1286" s="162"/>
      <c r="E1286" s="163"/>
      <c r="F1286" s="159"/>
      <c r="G1286" s="164"/>
      <c r="H1286" s="204" t="s">
        <v>940</v>
      </c>
      <c r="I1286" s="211">
        <v>2024</v>
      </c>
      <c r="J1286" s="208">
        <v>2854</v>
      </c>
      <c r="K1286" s="159"/>
      <c r="L1286" s="204" t="s">
        <v>942</v>
      </c>
      <c r="N1286" s="141">
        <f t="shared" si="42"/>
        <v>1030</v>
      </c>
    </row>
    <row r="1287" spans="1:14" ht="15">
      <c r="A1287" s="159"/>
      <c r="B1287" s="143" t="str">
        <f t="shared" si="41"/>
        <v>1031.</v>
      </c>
      <c r="C1287" s="205" t="s">
        <v>938</v>
      </c>
      <c r="D1287" s="162"/>
      <c r="E1287" s="163"/>
      <c r="F1287" s="159"/>
      <c r="G1287" s="164"/>
      <c r="H1287" s="204" t="s">
        <v>940</v>
      </c>
      <c r="I1287" s="211">
        <v>2024</v>
      </c>
      <c r="J1287" s="208">
        <v>2854</v>
      </c>
      <c r="K1287" s="159"/>
      <c r="L1287" s="204" t="s">
        <v>942</v>
      </c>
      <c r="N1287" s="141">
        <f t="shared" si="42"/>
        <v>1031</v>
      </c>
    </row>
    <row r="1288" spans="1:14" ht="15">
      <c r="A1288" s="159"/>
      <c r="B1288" s="143" t="str">
        <f t="shared" si="41"/>
        <v>1032.</v>
      </c>
      <c r="C1288" s="205" t="s">
        <v>938</v>
      </c>
      <c r="D1288" s="162"/>
      <c r="E1288" s="163"/>
      <c r="F1288" s="159"/>
      <c r="G1288" s="164"/>
      <c r="H1288" s="204" t="s">
        <v>940</v>
      </c>
      <c r="I1288" s="211">
        <v>2024</v>
      </c>
      <c r="J1288" s="208">
        <v>2854</v>
      </c>
      <c r="K1288" s="159"/>
      <c r="L1288" s="204" t="s">
        <v>942</v>
      </c>
      <c r="N1288" s="141">
        <f t="shared" si="42"/>
        <v>1032</v>
      </c>
    </row>
    <row r="1289" spans="1:14" ht="15">
      <c r="A1289" s="159"/>
      <c r="B1289" s="143" t="str">
        <f t="shared" si="41"/>
        <v>1033.</v>
      </c>
      <c r="C1289" s="205" t="s">
        <v>938</v>
      </c>
      <c r="D1289" s="162"/>
      <c r="E1289" s="163"/>
      <c r="F1289" s="159"/>
      <c r="G1289" s="164"/>
      <c r="H1289" s="204" t="s">
        <v>940</v>
      </c>
      <c r="I1289" s="211">
        <v>2024</v>
      </c>
      <c r="J1289" s="208">
        <v>2854</v>
      </c>
      <c r="K1289" s="159"/>
      <c r="L1289" s="204" t="s">
        <v>942</v>
      </c>
      <c r="N1289" s="141">
        <f t="shared" si="42"/>
        <v>1033</v>
      </c>
    </row>
    <row r="1290" spans="1:14" ht="15">
      <c r="A1290" s="159"/>
      <c r="B1290" s="143" t="str">
        <f t="shared" si="41"/>
        <v>1034.</v>
      </c>
      <c r="C1290" s="205" t="s">
        <v>938</v>
      </c>
      <c r="D1290" s="162"/>
      <c r="E1290" s="163"/>
      <c r="F1290" s="159"/>
      <c r="G1290" s="164"/>
      <c r="H1290" s="204" t="s">
        <v>940</v>
      </c>
      <c r="I1290" s="211">
        <v>2024</v>
      </c>
      <c r="J1290" s="208">
        <v>2854</v>
      </c>
      <c r="K1290" s="159"/>
      <c r="L1290" s="204" t="s">
        <v>942</v>
      </c>
      <c r="N1290" s="141">
        <f t="shared" si="42"/>
        <v>1034</v>
      </c>
    </row>
    <row r="1291" spans="1:14" ht="15">
      <c r="A1291" s="159"/>
      <c r="B1291" s="143" t="str">
        <f t="shared" si="41"/>
        <v>1035.</v>
      </c>
      <c r="C1291" s="205" t="s">
        <v>938</v>
      </c>
      <c r="D1291" s="162"/>
      <c r="E1291" s="163"/>
      <c r="F1291" s="159"/>
      <c r="G1291" s="164"/>
      <c r="H1291" s="204" t="s">
        <v>940</v>
      </c>
      <c r="I1291" s="211">
        <v>2024</v>
      </c>
      <c r="J1291" s="208">
        <v>5290</v>
      </c>
      <c r="K1291" s="159"/>
      <c r="L1291" s="204" t="s">
        <v>942</v>
      </c>
      <c r="N1291" s="141">
        <f t="shared" si="42"/>
        <v>1035</v>
      </c>
    </row>
    <row r="1292" spans="1:14" ht="15">
      <c r="A1292" s="159"/>
      <c r="B1292" s="143" t="str">
        <f t="shared" si="41"/>
        <v>1036.</v>
      </c>
      <c r="C1292" s="205" t="s">
        <v>938</v>
      </c>
      <c r="D1292" s="162"/>
      <c r="E1292" s="163"/>
      <c r="F1292" s="159"/>
      <c r="G1292" s="164"/>
      <c r="H1292" s="204" t="s">
        <v>940</v>
      </c>
      <c r="I1292" s="211">
        <v>2024</v>
      </c>
      <c r="J1292" s="208">
        <v>3370</v>
      </c>
      <c r="K1292" s="159"/>
      <c r="L1292" s="204" t="s">
        <v>942</v>
      </c>
      <c r="N1292" s="141">
        <f t="shared" si="42"/>
        <v>1036</v>
      </c>
    </row>
    <row r="1293" spans="1:14" ht="15">
      <c r="A1293" s="159"/>
      <c r="B1293" s="143" t="str">
        <f t="shared" si="41"/>
        <v>1037.</v>
      </c>
      <c r="C1293" s="205" t="s">
        <v>938</v>
      </c>
      <c r="D1293" s="162"/>
      <c r="E1293" s="163"/>
      <c r="F1293" s="159"/>
      <c r="G1293" s="164"/>
      <c r="H1293" s="204" t="s">
        <v>940</v>
      </c>
      <c r="I1293" s="211">
        <v>2024</v>
      </c>
      <c r="J1293" s="208">
        <v>3882</v>
      </c>
      <c r="K1293" s="159"/>
      <c r="L1293" s="204" t="s">
        <v>942</v>
      </c>
      <c r="N1293" s="141">
        <f t="shared" si="42"/>
        <v>1037</v>
      </c>
    </row>
    <row r="1294" spans="1:14" ht="15">
      <c r="A1294" s="159"/>
      <c r="B1294" s="143" t="str">
        <f t="shared" si="41"/>
        <v>1038.</v>
      </c>
      <c r="C1294" s="205" t="s">
        <v>938</v>
      </c>
      <c r="D1294" s="162"/>
      <c r="E1294" s="163"/>
      <c r="F1294" s="159"/>
      <c r="G1294" s="164"/>
      <c r="H1294" s="204" t="s">
        <v>940</v>
      </c>
      <c r="I1294" s="211">
        <v>2024</v>
      </c>
      <c r="J1294" s="208">
        <v>4162</v>
      </c>
      <c r="K1294" s="159"/>
      <c r="L1294" s="204" t="s">
        <v>942</v>
      </c>
      <c r="N1294" s="141">
        <f t="shared" si="42"/>
        <v>1038</v>
      </c>
    </row>
    <row r="1295" spans="1:14" ht="15">
      <c r="A1295" s="159"/>
      <c r="B1295" s="143" t="str">
        <f t="shared" si="41"/>
        <v>1039.</v>
      </c>
      <c r="C1295" s="205" t="s">
        <v>938</v>
      </c>
      <c r="D1295" s="162"/>
      <c r="E1295" s="163"/>
      <c r="F1295" s="159"/>
      <c r="G1295" s="164"/>
      <c r="H1295" s="204" t="s">
        <v>940</v>
      </c>
      <c r="I1295" s="211">
        <v>2024</v>
      </c>
      <c r="J1295" s="208">
        <v>5716</v>
      </c>
      <c r="K1295" s="159"/>
      <c r="L1295" s="204" t="s">
        <v>942</v>
      </c>
      <c r="N1295" s="141">
        <f t="shared" si="42"/>
        <v>1039</v>
      </c>
    </row>
    <row r="1296" spans="1:14" ht="15">
      <c r="A1296" s="159"/>
      <c r="B1296" s="143" t="str">
        <f t="shared" si="41"/>
        <v>1040.</v>
      </c>
      <c r="C1296" s="205" t="s">
        <v>938</v>
      </c>
      <c r="D1296" s="162"/>
      <c r="E1296" s="163"/>
      <c r="F1296" s="159"/>
      <c r="G1296" s="164"/>
      <c r="H1296" s="204" t="s">
        <v>940</v>
      </c>
      <c r="I1296" s="211">
        <v>2024</v>
      </c>
      <c r="J1296" s="208">
        <v>6437</v>
      </c>
      <c r="K1296" s="159"/>
      <c r="L1296" s="204" t="s">
        <v>942</v>
      </c>
      <c r="N1296" s="141">
        <f t="shared" si="42"/>
        <v>1040</v>
      </c>
    </row>
    <row r="1297" spans="1:14" ht="15">
      <c r="A1297" s="159"/>
      <c r="B1297" s="143" t="str">
        <f t="shared" si="41"/>
        <v>1041.</v>
      </c>
      <c r="C1297" s="205" t="s">
        <v>938</v>
      </c>
      <c r="D1297" s="162"/>
      <c r="E1297" s="163"/>
      <c r="F1297" s="159"/>
      <c r="G1297" s="164"/>
      <c r="H1297" s="204" t="s">
        <v>940</v>
      </c>
      <c r="I1297" s="211">
        <v>2024</v>
      </c>
      <c r="J1297" s="208">
        <v>4779</v>
      </c>
      <c r="K1297" s="159"/>
      <c r="L1297" s="204" t="s">
        <v>942</v>
      </c>
      <c r="N1297" s="141">
        <f t="shared" si="42"/>
        <v>1041</v>
      </c>
    </row>
    <row r="1298" spans="1:14" ht="15">
      <c r="A1298" s="159"/>
      <c r="B1298" s="143" t="str">
        <f t="shared" si="41"/>
        <v>1042.</v>
      </c>
      <c r="C1298" s="205" t="s">
        <v>938</v>
      </c>
      <c r="D1298" s="162"/>
      <c r="E1298" s="163"/>
      <c r="F1298" s="159"/>
      <c r="G1298" s="164"/>
      <c r="H1298" s="204" t="s">
        <v>940</v>
      </c>
      <c r="I1298" s="211">
        <v>2024</v>
      </c>
      <c r="J1298" s="208">
        <v>3370</v>
      </c>
      <c r="K1298" s="159"/>
      <c r="L1298" s="204" t="s">
        <v>942</v>
      </c>
      <c r="N1298" s="141">
        <f t="shared" si="42"/>
        <v>1042</v>
      </c>
    </row>
    <row r="1299" spans="1:14" ht="15">
      <c r="A1299" s="159"/>
      <c r="B1299" s="143" t="str">
        <f t="shared" si="41"/>
        <v>1043.</v>
      </c>
      <c r="C1299" s="205" t="s">
        <v>938</v>
      </c>
      <c r="D1299" s="162"/>
      <c r="E1299" s="163"/>
      <c r="F1299" s="159"/>
      <c r="G1299" s="164"/>
      <c r="H1299" s="204" t="s">
        <v>940</v>
      </c>
      <c r="I1299" s="211">
        <v>2024</v>
      </c>
      <c r="J1299" s="208">
        <v>3882</v>
      </c>
      <c r="K1299" s="159"/>
      <c r="L1299" s="204" t="s">
        <v>942</v>
      </c>
      <c r="N1299" s="141">
        <f t="shared" si="42"/>
        <v>1043</v>
      </c>
    </row>
    <row r="1300" spans="1:14" ht="15">
      <c r="A1300" s="159"/>
      <c r="B1300" s="143" t="str">
        <f t="shared" si="41"/>
        <v>1044.</v>
      </c>
      <c r="C1300" s="205" t="s">
        <v>938</v>
      </c>
      <c r="D1300" s="162"/>
      <c r="E1300" s="163"/>
      <c r="F1300" s="159"/>
      <c r="G1300" s="164"/>
      <c r="H1300" s="204" t="s">
        <v>940</v>
      </c>
      <c r="I1300" s="211">
        <v>2024</v>
      </c>
      <c r="J1300" s="208">
        <v>3882</v>
      </c>
      <c r="K1300" s="159"/>
      <c r="L1300" s="204" t="s">
        <v>942</v>
      </c>
      <c r="N1300" s="141">
        <f t="shared" si="42"/>
        <v>1044</v>
      </c>
    </row>
    <row r="1301" spans="1:14" ht="15">
      <c r="A1301" s="159"/>
      <c r="B1301" s="143" t="str">
        <f t="shared" si="41"/>
        <v>1045.</v>
      </c>
      <c r="C1301" s="205" t="s">
        <v>938</v>
      </c>
      <c r="D1301" s="162"/>
      <c r="E1301" s="163"/>
      <c r="F1301" s="159"/>
      <c r="G1301" s="164"/>
      <c r="H1301" s="204" t="s">
        <v>940</v>
      </c>
      <c r="I1301" s="211">
        <v>2024</v>
      </c>
      <c r="J1301" s="208">
        <v>3882</v>
      </c>
      <c r="K1301" s="159"/>
      <c r="L1301" s="204" t="s">
        <v>942</v>
      </c>
      <c r="N1301" s="141">
        <f t="shared" si="42"/>
        <v>1045</v>
      </c>
    </row>
    <row r="1302" spans="1:14" ht="15">
      <c r="A1302" s="159"/>
      <c r="B1302" s="143" t="str">
        <f t="shared" si="41"/>
        <v>1046.</v>
      </c>
      <c r="C1302" s="205" t="s">
        <v>938</v>
      </c>
      <c r="D1302" s="162"/>
      <c r="E1302" s="163"/>
      <c r="F1302" s="159"/>
      <c r="G1302" s="164"/>
      <c r="H1302" s="204" t="s">
        <v>940</v>
      </c>
      <c r="I1302" s="211">
        <v>2024</v>
      </c>
      <c r="J1302" s="208">
        <v>3882</v>
      </c>
      <c r="K1302" s="159"/>
      <c r="L1302" s="204" t="s">
        <v>942</v>
      </c>
      <c r="N1302" s="141">
        <f t="shared" si="42"/>
        <v>1046</v>
      </c>
    </row>
    <row r="1303" spans="1:14" ht="15">
      <c r="A1303" s="159"/>
      <c r="B1303" s="143" t="str">
        <f t="shared" si="41"/>
        <v>1047.</v>
      </c>
      <c r="C1303" s="205" t="s">
        <v>938</v>
      </c>
      <c r="D1303" s="162"/>
      <c r="E1303" s="163"/>
      <c r="F1303" s="159"/>
      <c r="G1303" s="164"/>
      <c r="H1303" s="204" t="s">
        <v>940</v>
      </c>
      <c r="I1303" s="211">
        <v>2024</v>
      </c>
      <c r="J1303" s="208">
        <v>3882</v>
      </c>
      <c r="K1303" s="159"/>
      <c r="L1303" s="204" t="s">
        <v>942</v>
      </c>
      <c r="N1303" s="141">
        <f t="shared" si="42"/>
        <v>1047</v>
      </c>
    </row>
    <row r="1304" spans="1:14" ht="15">
      <c r="A1304" s="159"/>
      <c r="B1304" s="143" t="str">
        <f t="shared" si="41"/>
        <v>1048.</v>
      </c>
      <c r="C1304" s="205" t="s">
        <v>938</v>
      </c>
      <c r="D1304" s="162"/>
      <c r="E1304" s="163"/>
      <c r="F1304" s="159"/>
      <c r="G1304" s="164"/>
      <c r="H1304" s="204" t="s">
        <v>940</v>
      </c>
      <c r="I1304" s="211">
        <v>2024</v>
      </c>
      <c r="J1304" s="208">
        <v>3882</v>
      </c>
      <c r="K1304" s="159"/>
      <c r="L1304" s="204" t="s">
        <v>942</v>
      </c>
      <c r="N1304" s="141">
        <f t="shared" si="42"/>
        <v>1048</v>
      </c>
    </row>
    <row r="1305" spans="1:14" ht="15">
      <c r="A1305" s="159"/>
      <c r="B1305" s="143" t="str">
        <f t="shared" si="41"/>
        <v>1049.</v>
      </c>
      <c r="C1305" s="205" t="s">
        <v>938</v>
      </c>
      <c r="D1305" s="162"/>
      <c r="E1305" s="163"/>
      <c r="F1305" s="159"/>
      <c r="G1305" s="164"/>
      <c r="H1305" s="204" t="s">
        <v>940</v>
      </c>
      <c r="I1305" s="211">
        <v>2024</v>
      </c>
      <c r="J1305" s="208">
        <v>3882</v>
      </c>
      <c r="K1305" s="159"/>
      <c r="L1305" s="204" t="s">
        <v>942</v>
      </c>
      <c r="N1305" s="141">
        <f t="shared" si="42"/>
        <v>1049</v>
      </c>
    </row>
    <row r="1306" spans="1:14" ht="15">
      <c r="A1306" s="159"/>
      <c r="B1306" s="143" t="str">
        <f t="shared" si="41"/>
        <v>1050.</v>
      </c>
      <c r="C1306" s="205" t="s">
        <v>938</v>
      </c>
      <c r="D1306" s="162"/>
      <c r="E1306" s="163"/>
      <c r="F1306" s="159"/>
      <c r="G1306" s="164"/>
      <c r="H1306" s="204" t="s">
        <v>940</v>
      </c>
      <c r="I1306" s="211">
        <v>2024</v>
      </c>
      <c r="J1306" s="208">
        <v>4162</v>
      </c>
      <c r="K1306" s="159"/>
      <c r="L1306" s="204" t="s">
        <v>942</v>
      </c>
      <c r="N1306" s="141">
        <f t="shared" si="42"/>
        <v>1050</v>
      </c>
    </row>
    <row r="1307" spans="1:14" ht="15">
      <c r="A1307" s="159"/>
      <c r="B1307" s="143" t="str">
        <f t="shared" si="41"/>
        <v>1051.</v>
      </c>
      <c r="C1307" s="205" t="s">
        <v>938</v>
      </c>
      <c r="D1307" s="162"/>
      <c r="E1307" s="163"/>
      <c r="F1307" s="159"/>
      <c r="G1307" s="164"/>
      <c r="H1307" s="204" t="s">
        <v>940</v>
      </c>
      <c r="I1307" s="211">
        <v>2024</v>
      </c>
      <c r="J1307" s="208">
        <v>3370</v>
      </c>
      <c r="K1307" s="159"/>
      <c r="L1307" s="204" t="s">
        <v>942</v>
      </c>
      <c r="N1307" s="141">
        <f t="shared" si="42"/>
        <v>1051</v>
      </c>
    </row>
    <row r="1308" spans="1:14" ht="15">
      <c r="A1308" s="159"/>
      <c r="B1308" s="143" t="str">
        <f t="shared" si="41"/>
        <v>1052.</v>
      </c>
      <c r="C1308" s="205" t="s">
        <v>938</v>
      </c>
      <c r="D1308" s="162"/>
      <c r="E1308" s="163"/>
      <c r="F1308" s="159"/>
      <c r="G1308" s="164"/>
      <c r="H1308" s="204" t="s">
        <v>940</v>
      </c>
      <c r="I1308" s="211">
        <v>2024</v>
      </c>
      <c r="J1308" s="208">
        <v>4162</v>
      </c>
      <c r="K1308" s="159"/>
      <c r="L1308" s="204" t="s">
        <v>942</v>
      </c>
      <c r="N1308" s="141">
        <f t="shared" si="42"/>
        <v>1052</v>
      </c>
    </row>
    <row r="1309" spans="1:14" ht="15">
      <c r="A1309" s="159"/>
      <c r="B1309" s="143" t="str">
        <f t="shared" si="41"/>
        <v>1053.</v>
      </c>
      <c r="C1309" s="205" t="s">
        <v>938</v>
      </c>
      <c r="D1309" s="162"/>
      <c r="E1309" s="163"/>
      <c r="F1309" s="159"/>
      <c r="G1309" s="164"/>
      <c r="H1309" s="204" t="s">
        <v>940</v>
      </c>
      <c r="I1309" s="211">
        <v>2024</v>
      </c>
      <c r="J1309" s="208">
        <v>3882</v>
      </c>
      <c r="K1309" s="159"/>
      <c r="L1309" s="204" t="s">
        <v>942</v>
      </c>
      <c r="N1309" s="141">
        <f t="shared" si="42"/>
        <v>1053</v>
      </c>
    </row>
    <row r="1310" spans="1:14" ht="15">
      <c r="A1310" s="159"/>
      <c r="B1310" s="143" t="str">
        <f t="shared" si="41"/>
        <v>1054.</v>
      </c>
      <c r="C1310" s="205" t="s">
        <v>938</v>
      </c>
      <c r="D1310" s="162"/>
      <c r="E1310" s="163"/>
      <c r="F1310" s="159"/>
      <c r="G1310" s="164"/>
      <c r="H1310" s="204" t="s">
        <v>940</v>
      </c>
      <c r="I1310" s="211">
        <v>2024</v>
      </c>
      <c r="J1310" s="208">
        <v>4162</v>
      </c>
      <c r="K1310" s="159"/>
      <c r="L1310" s="204" t="s">
        <v>942</v>
      </c>
      <c r="N1310" s="141">
        <f t="shared" si="42"/>
        <v>1054</v>
      </c>
    </row>
    <row r="1311" spans="1:14" ht="15">
      <c r="A1311" s="159"/>
      <c r="B1311" s="143" t="str">
        <f t="shared" si="41"/>
        <v>1055.</v>
      </c>
      <c r="C1311" s="205" t="s">
        <v>938</v>
      </c>
      <c r="D1311" s="162"/>
      <c r="E1311" s="163"/>
      <c r="F1311" s="159"/>
      <c r="G1311" s="164"/>
      <c r="H1311" s="204" t="s">
        <v>940</v>
      </c>
      <c r="I1311" s="211">
        <v>2024</v>
      </c>
      <c r="J1311" s="208">
        <v>3370</v>
      </c>
      <c r="K1311" s="159"/>
      <c r="L1311" s="204" t="s">
        <v>942</v>
      </c>
      <c r="N1311" s="141">
        <f t="shared" si="42"/>
        <v>1055</v>
      </c>
    </row>
    <row r="1312" spans="1:14" ht="15">
      <c r="A1312" s="159"/>
      <c r="B1312" s="143" t="str">
        <f t="shared" si="41"/>
        <v>1056.</v>
      </c>
      <c r="C1312" s="205" t="s">
        <v>938</v>
      </c>
      <c r="D1312" s="162"/>
      <c r="E1312" s="163"/>
      <c r="F1312" s="159"/>
      <c r="G1312" s="164"/>
      <c r="H1312" s="204" t="s">
        <v>940</v>
      </c>
      <c r="I1312" s="211">
        <v>2024</v>
      </c>
      <c r="J1312" s="208">
        <v>3370</v>
      </c>
      <c r="K1312" s="159"/>
      <c r="L1312" s="204" t="s">
        <v>942</v>
      </c>
      <c r="N1312" s="141">
        <f t="shared" si="42"/>
        <v>1056</v>
      </c>
    </row>
    <row r="1313" spans="1:14" ht="15">
      <c r="A1313" s="159"/>
      <c r="B1313" s="143" t="str">
        <f t="shared" si="41"/>
        <v>1057.</v>
      </c>
      <c r="C1313" s="205" t="s">
        <v>938</v>
      </c>
      <c r="D1313" s="162"/>
      <c r="E1313" s="163"/>
      <c r="F1313" s="159"/>
      <c r="G1313" s="164"/>
      <c r="H1313" s="204" t="s">
        <v>940</v>
      </c>
      <c r="I1313" s="211">
        <v>2024</v>
      </c>
      <c r="J1313" s="208">
        <v>4162</v>
      </c>
      <c r="K1313" s="159"/>
      <c r="L1313" s="204" t="s">
        <v>942</v>
      </c>
      <c r="N1313" s="141">
        <f t="shared" si="42"/>
        <v>1057</v>
      </c>
    </row>
    <row r="1314" spans="1:14" ht="15">
      <c r="A1314" s="159"/>
      <c r="B1314" s="143" t="str">
        <f t="shared" si="41"/>
        <v>1058.</v>
      </c>
      <c r="C1314" s="205" t="s">
        <v>938</v>
      </c>
      <c r="D1314" s="162"/>
      <c r="E1314" s="163"/>
      <c r="F1314" s="159"/>
      <c r="G1314" s="164"/>
      <c r="H1314" s="204" t="s">
        <v>940</v>
      </c>
      <c r="I1314" s="211">
        <v>2024</v>
      </c>
      <c r="J1314" s="208">
        <v>4162</v>
      </c>
      <c r="K1314" s="159"/>
      <c r="L1314" s="204" t="s">
        <v>942</v>
      </c>
      <c r="N1314" s="141">
        <f t="shared" si="42"/>
        <v>1058</v>
      </c>
    </row>
    <row r="1315" spans="1:14" ht="15">
      <c r="A1315" s="159"/>
      <c r="B1315" s="143" t="str">
        <f t="shared" si="41"/>
        <v>1059.</v>
      </c>
      <c r="C1315" s="205" t="s">
        <v>938</v>
      </c>
      <c r="D1315" s="162"/>
      <c r="E1315" s="163"/>
      <c r="F1315" s="159"/>
      <c r="G1315" s="164"/>
      <c r="H1315" s="204" t="s">
        <v>940</v>
      </c>
      <c r="I1315" s="211">
        <v>2024</v>
      </c>
      <c r="J1315" s="208">
        <v>3370</v>
      </c>
      <c r="K1315" s="159"/>
      <c r="L1315" s="204" t="s">
        <v>942</v>
      </c>
      <c r="N1315" s="141">
        <f t="shared" si="42"/>
        <v>1059</v>
      </c>
    </row>
    <row r="1316" spans="1:14" ht="15">
      <c r="A1316" s="159"/>
      <c r="B1316" s="143" t="str">
        <f t="shared" si="41"/>
        <v>1060.</v>
      </c>
      <c r="C1316" s="205" t="s">
        <v>938</v>
      </c>
      <c r="D1316" s="162"/>
      <c r="E1316" s="163"/>
      <c r="F1316" s="159"/>
      <c r="G1316" s="164"/>
      <c r="H1316" s="204" t="s">
        <v>940</v>
      </c>
      <c r="I1316" s="211">
        <v>2024</v>
      </c>
      <c r="J1316" s="208">
        <v>3882</v>
      </c>
      <c r="K1316" s="159"/>
      <c r="L1316" s="204" t="s">
        <v>942</v>
      </c>
      <c r="N1316" s="141">
        <f t="shared" si="42"/>
        <v>1060</v>
      </c>
    </row>
    <row r="1317" spans="1:14" ht="15">
      <c r="A1317" s="159"/>
      <c r="B1317" s="143" t="str">
        <f t="shared" si="41"/>
        <v>1061.</v>
      </c>
      <c r="C1317" s="205" t="s">
        <v>938</v>
      </c>
      <c r="D1317" s="162"/>
      <c r="E1317" s="163"/>
      <c r="F1317" s="159"/>
      <c r="G1317" s="164"/>
      <c r="H1317" s="204" t="s">
        <v>940</v>
      </c>
      <c r="I1317" s="211">
        <v>2024</v>
      </c>
      <c r="J1317" s="208">
        <v>3882</v>
      </c>
      <c r="K1317" s="159"/>
      <c r="L1317" s="204" t="s">
        <v>942</v>
      </c>
      <c r="N1317" s="141">
        <f t="shared" si="42"/>
        <v>1061</v>
      </c>
    </row>
    <row r="1318" spans="1:14" ht="15">
      <c r="A1318" s="159"/>
      <c r="B1318" s="143" t="str">
        <f t="shared" si="41"/>
        <v>1062.</v>
      </c>
      <c r="C1318" s="205" t="s">
        <v>938</v>
      </c>
      <c r="D1318" s="162"/>
      <c r="E1318" s="163"/>
      <c r="F1318" s="159"/>
      <c r="G1318" s="164"/>
      <c r="H1318" s="204" t="s">
        <v>940</v>
      </c>
      <c r="I1318" s="211">
        <v>2024</v>
      </c>
      <c r="J1318" s="208">
        <v>3882</v>
      </c>
      <c r="K1318" s="159"/>
      <c r="L1318" s="204" t="s">
        <v>942</v>
      </c>
      <c r="N1318" s="141">
        <f t="shared" si="42"/>
        <v>1062</v>
      </c>
    </row>
    <row r="1319" spans="1:14" ht="15">
      <c r="A1319" s="159"/>
      <c r="B1319" s="143" t="str">
        <f t="shared" si="41"/>
        <v>1063.</v>
      </c>
      <c r="C1319" s="205" t="s">
        <v>938</v>
      </c>
      <c r="D1319" s="162"/>
      <c r="E1319" s="163"/>
      <c r="F1319" s="159"/>
      <c r="G1319" s="164"/>
      <c r="H1319" s="204" t="s">
        <v>940</v>
      </c>
      <c r="I1319" s="211">
        <v>2024</v>
      </c>
      <c r="J1319" s="208">
        <v>3882</v>
      </c>
      <c r="K1319" s="159"/>
      <c r="L1319" s="204" t="s">
        <v>942</v>
      </c>
      <c r="N1319" s="141">
        <f t="shared" si="42"/>
        <v>1063</v>
      </c>
    </row>
    <row r="1320" spans="1:14" ht="15">
      <c r="A1320" s="159"/>
      <c r="B1320" s="143" t="str">
        <f t="shared" si="41"/>
        <v>1064.</v>
      </c>
      <c r="C1320" s="205" t="s">
        <v>938</v>
      </c>
      <c r="D1320" s="162"/>
      <c r="E1320" s="163"/>
      <c r="F1320" s="159"/>
      <c r="G1320" s="164"/>
      <c r="H1320" s="204" t="s">
        <v>940</v>
      </c>
      <c r="I1320" s="211">
        <v>2024</v>
      </c>
      <c r="J1320" s="208">
        <v>3370</v>
      </c>
      <c r="K1320" s="159"/>
      <c r="L1320" s="204" t="s">
        <v>942</v>
      </c>
      <c r="N1320" s="141">
        <f t="shared" si="42"/>
        <v>1064</v>
      </c>
    </row>
    <row r="1321" spans="1:14" ht="15">
      <c r="A1321" s="159"/>
      <c r="B1321" s="143" t="str">
        <f t="shared" si="41"/>
        <v>1065.</v>
      </c>
      <c r="C1321" s="205" t="s">
        <v>938</v>
      </c>
      <c r="D1321" s="162"/>
      <c r="E1321" s="163"/>
      <c r="F1321" s="159"/>
      <c r="G1321" s="164"/>
      <c r="H1321" s="204" t="s">
        <v>940</v>
      </c>
      <c r="I1321" s="211">
        <v>2024</v>
      </c>
      <c r="J1321" s="208">
        <v>4162</v>
      </c>
      <c r="K1321" s="159"/>
      <c r="L1321" s="204" t="s">
        <v>942</v>
      </c>
      <c r="N1321" s="141">
        <f t="shared" si="42"/>
        <v>1065</v>
      </c>
    </row>
    <row r="1322" spans="1:14" ht="15">
      <c r="A1322" s="159"/>
      <c r="B1322" s="143" t="str">
        <f t="shared" si="41"/>
        <v>1066.</v>
      </c>
      <c r="C1322" s="205" t="s">
        <v>938</v>
      </c>
      <c r="D1322" s="162"/>
      <c r="E1322" s="163"/>
      <c r="F1322" s="159"/>
      <c r="G1322" s="164"/>
      <c r="H1322" s="204" t="s">
        <v>940</v>
      </c>
      <c r="I1322" s="211">
        <v>2024</v>
      </c>
      <c r="J1322" s="208">
        <v>4779</v>
      </c>
      <c r="K1322" s="159"/>
      <c r="L1322" s="204" t="s">
        <v>942</v>
      </c>
      <c r="N1322" s="141">
        <f t="shared" si="42"/>
        <v>1066</v>
      </c>
    </row>
    <row r="1323" spans="1:14" ht="15">
      <c r="A1323" s="159"/>
      <c r="B1323" s="143" t="str">
        <f t="shared" si="41"/>
        <v>1067.</v>
      </c>
      <c r="C1323" s="205" t="s">
        <v>938</v>
      </c>
      <c r="D1323" s="162"/>
      <c r="E1323" s="163"/>
      <c r="F1323" s="159"/>
      <c r="G1323" s="164"/>
      <c r="H1323" s="204" t="s">
        <v>940</v>
      </c>
      <c r="I1323" s="211">
        <v>2024</v>
      </c>
      <c r="J1323" s="208">
        <v>4162</v>
      </c>
      <c r="K1323" s="159"/>
      <c r="L1323" s="204" t="s">
        <v>942</v>
      </c>
      <c r="N1323" s="141">
        <f t="shared" si="42"/>
        <v>1067</v>
      </c>
    </row>
    <row r="1324" spans="1:14" ht="15">
      <c r="A1324" s="159"/>
      <c r="B1324" s="143" t="str">
        <f t="shared" si="41"/>
        <v>1068.</v>
      </c>
      <c r="C1324" s="205" t="s">
        <v>938</v>
      </c>
      <c r="D1324" s="162"/>
      <c r="E1324" s="163"/>
      <c r="F1324" s="159"/>
      <c r="G1324" s="164"/>
      <c r="H1324" s="204" t="s">
        <v>940</v>
      </c>
      <c r="I1324" s="211">
        <v>2024</v>
      </c>
      <c r="J1324" s="208">
        <v>3370</v>
      </c>
      <c r="K1324" s="159"/>
      <c r="L1324" s="204" t="s">
        <v>942</v>
      </c>
      <c r="N1324" s="141">
        <f t="shared" si="42"/>
        <v>1068</v>
      </c>
    </row>
    <row r="1325" spans="1:14" ht="15">
      <c r="A1325" s="159"/>
      <c r="B1325" s="143" t="str">
        <f t="shared" si="41"/>
        <v>1069.</v>
      </c>
      <c r="C1325" s="205" t="s">
        <v>938</v>
      </c>
      <c r="D1325" s="162"/>
      <c r="E1325" s="163"/>
      <c r="F1325" s="159"/>
      <c r="G1325" s="164"/>
      <c r="H1325" s="204" t="s">
        <v>940</v>
      </c>
      <c r="I1325" s="211">
        <v>2024</v>
      </c>
      <c r="J1325" s="208">
        <v>3370</v>
      </c>
      <c r="K1325" s="159"/>
      <c r="L1325" s="204" t="s">
        <v>942</v>
      </c>
      <c r="N1325" s="141">
        <f t="shared" si="42"/>
        <v>1069</v>
      </c>
    </row>
    <row r="1326" spans="1:14" ht="15">
      <c r="A1326" s="159"/>
      <c r="B1326" s="143" t="str">
        <f t="shared" si="41"/>
        <v>1070.</v>
      </c>
      <c r="C1326" s="205" t="s">
        <v>938</v>
      </c>
      <c r="D1326" s="162"/>
      <c r="E1326" s="163"/>
      <c r="F1326" s="159"/>
      <c r="G1326" s="164"/>
      <c r="H1326" s="204" t="s">
        <v>940</v>
      </c>
      <c r="I1326" s="211">
        <v>2024</v>
      </c>
      <c r="J1326" s="208">
        <v>3983</v>
      </c>
      <c r="K1326" s="159"/>
      <c r="L1326" s="204" t="s">
        <v>942</v>
      </c>
      <c r="N1326" s="141">
        <f t="shared" si="42"/>
        <v>1070</v>
      </c>
    </row>
    <row r="1327" spans="1:14" ht="15">
      <c r="A1327" s="159"/>
      <c r="B1327" s="143" t="str">
        <f t="shared" si="41"/>
        <v>1071.</v>
      </c>
      <c r="C1327" s="205" t="s">
        <v>938</v>
      </c>
      <c r="D1327" s="162"/>
      <c r="E1327" s="163"/>
      <c r="F1327" s="159"/>
      <c r="G1327" s="164"/>
      <c r="H1327" s="204" t="s">
        <v>940</v>
      </c>
      <c r="I1327" s="211">
        <v>2024</v>
      </c>
      <c r="J1327" s="208">
        <v>3983</v>
      </c>
      <c r="K1327" s="159"/>
      <c r="L1327" s="204" t="s">
        <v>942</v>
      </c>
      <c r="N1327" s="141">
        <f t="shared" si="42"/>
        <v>1071</v>
      </c>
    </row>
    <row r="1328" spans="1:14" ht="15">
      <c r="A1328" s="159"/>
      <c r="B1328" s="143" t="str">
        <f t="shared" si="41"/>
        <v>1072.</v>
      </c>
      <c r="C1328" s="205" t="s">
        <v>938</v>
      </c>
      <c r="D1328" s="162"/>
      <c r="E1328" s="163"/>
      <c r="F1328" s="159"/>
      <c r="G1328" s="164"/>
      <c r="H1328" s="204" t="s">
        <v>940</v>
      </c>
      <c r="I1328" s="211">
        <v>2024</v>
      </c>
      <c r="J1328" s="208">
        <v>3574</v>
      </c>
      <c r="K1328" s="159"/>
      <c r="L1328" s="204" t="s">
        <v>942</v>
      </c>
      <c r="N1328" s="141">
        <f t="shared" si="42"/>
        <v>1072</v>
      </c>
    </row>
    <row r="1329" spans="1:14" ht="15">
      <c r="A1329" s="159"/>
      <c r="B1329" s="143" t="str">
        <f t="shared" si="41"/>
        <v>1073.</v>
      </c>
      <c r="C1329" s="205" t="s">
        <v>938</v>
      </c>
      <c r="D1329" s="162"/>
      <c r="E1329" s="163"/>
      <c r="F1329" s="159"/>
      <c r="G1329" s="164"/>
      <c r="H1329" s="204" t="s">
        <v>940</v>
      </c>
      <c r="I1329" s="211">
        <v>2024</v>
      </c>
      <c r="J1329" s="208">
        <v>4149</v>
      </c>
      <c r="K1329" s="159"/>
      <c r="L1329" s="204" t="s">
        <v>942</v>
      </c>
      <c r="N1329" s="141">
        <f t="shared" si="42"/>
        <v>1073</v>
      </c>
    </row>
    <row r="1330" spans="1:14" ht="15">
      <c r="A1330" s="159"/>
      <c r="B1330" s="143" t="str">
        <f t="shared" si="41"/>
        <v>1074.</v>
      </c>
      <c r="C1330" s="205" t="s">
        <v>938</v>
      </c>
      <c r="D1330" s="162"/>
      <c r="E1330" s="163"/>
      <c r="F1330" s="159"/>
      <c r="G1330" s="164"/>
      <c r="H1330" s="204" t="s">
        <v>940</v>
      </c>
      <c r="I1330" s="211">
        <v>2024</v>
      </c>
      <c r="J1330" s="208">
        <v>3983</v>
      </c>
      <c r="K1330" s="159"/>
      <c r="L1330" s="204" t="s">
        <v>942</v>
      </c>
      <c r="N1330" s="141">
        <f t="shared" si="42"/>
        <v>1074</v>
      </c>
    </row>
    <row r="1331" spans="1:14" ht="15">
      <c r="A1331" s="159"/>
      <c r="B1331" s="143" t="str">
        <f t="shared" si="41"/>
        <v>1075.</v>
      </c>
      <c r="C1331" s="205" t="s">
        <v>938</v>
      </c>
      <c r="D1331" s="162"/>
      <c r="E1331" s="163"/>
      <c r="F1331" s="159"/>
      <c r="G1331" s="164"/>
      <c r="H1331" s="204" t="s">
        <v>940</v>
      </c>
      <c r="I1331" s="211">
        <v>2024</v>
      </c>
      <c r="J1331" s="208">
        <v>3574</v>
      </c>
      <c r="K1331" s="159"/>
      <c r="L1331" s="204" t="s">
        <v>942</v>
      </c>
      <c r="N1331" s="141">
        <f t="shared" si="42"/>
        <v>1075</v>
      </c>
    </row>
    <row r="1332" spans="1:14" ht="15">
      <c r="A1332" s="159"/>
      <c r="B1332" s="143" t="str">
        <f t="shared" si="41"/>
        <v>1076.</v>
      </c>
      <c r="C1332" s="205" t="s">
        <v>938</v>
      </c>
      <c r="D1332" s="162"/>
      <c r="E1332" s="163"/>
      <c r="F1332" s="159"/>
      <c r="G1332" s="164"/>
      <c r="H1332" s="204" t="s">
        <v>940</v>
      </c>
      <c r="I1332" s="211">
        <v>2024</v>
      </c>
      <c r="J1332" s="208">
        <v>3413</v>
      </c>
      <c r="K1332" s="159"/>
      <c r="L1332" s="204" t="s">
        <v>942</v>
      </c>
      <c r="N1332" s="141">
        <f t="shared" si="42"/>
        <v>1076</v>
      </c>
    </row>
    <row r="1333" spans="1:14" ht="15">
      <c r="A1333" s="159"/>
      <c r="B1333" s="143" t="str">
        <f t="shared" si="41"/>
        <v>1077.</v>
      </c>
      <c r="C1333" s="205" t="s">
        <v>938</v>
      </c>
      <c r="D1333" s="162"/>
      <c r="E1333" s="163"/>
      <c r="F1333" s="159"/>
      <c r="G1333" s="164"/>
      <c r="H1333" s="204" t="s">
        <v>940</v>
      </c>
      <c r="I1333" s="211">
        <v>2024</v>
      </c>
      <c r="J1333" s="208">
        <v>4149</v>
      </c>
      <c r="K1333" s="159"/>
      <c r="L1333" s="204" t="s">
        <v>942</v>
      </c>
      <c r="N1333" s="141">
        <f t="shared" si="42"/>
        <v>1077</v>
      </c>
    </row>
    <row r="1334" spans="1:14" ht="15">
      <c r="A1334" s="159"/>
      <c r="B1334" s="143" t="str">
        <f t="shared" si="41"/>
        <v>1078.</v>
      </c>
      <c r="C1334" s="205" t="s">
        <v>938</v>
      </c>
      <c r="D1334" s="162"/>
      <c r="E1334" s="163"/>
      <c r="F1334" s="159"/>
      <c r="G1334" s="164"/>
      <c r="H1334" s="204" t="s">
        <v>940</v>
      </c>
      <c r="I1334" s="211">
        <v>2024</v>
      </c>
      <c r="J1334" s="208">
        <v>4598</v>
      </c>
      <c r="K1334" s="159"/>
      <c r="L1334" s="204" t="s">
        <v>942</v>
      </c>
      <c r="N1334" s="141">
        <f t="shared" si="42"/>
        <v>1078</v>
      </c>
    </row>
    <row r="1335" spans="1:14" ht="15">
      <c r="A1335" s="159"/>
      <c r="B1335" s="143" t="str">
        <f t="shared" si="41"/>
        <v>1079.</v>
      </c>
      <c r="C1335" s="205" t="s">
        <v>938</v>
      </c>
      <c r="D1335" s="162"/>
      <c r="E1335" s="163"/>
      <c r="F1335" s="159"/>
      <c r="G1335" s="164"/>
      <c r="H1335" s="204" t="s">
        <v>940</v>
      </c>
      <c r="I1335" s="211">
        <v>2024</v>
      </c>
      <c r="J1335" s="208">
        <v>4598</v>
      </c>
      <c r="K1335" s="159"/>
      <c r="L1335" s="204" t="s">
        <v>942</v>
      </c>
      <c r="N1335" s="141">
        <f t="shared" si="42"/>
        <v>1079</v>
      </c>
    </row>
    <row r="1336" spans="1:14" ht="15">
      <c r="A1336" s="159"/>
      <c r="B1336" s="143" t="str">
        <f t="shared" si="41"/>
        <v>1080.</v>
      </c>
      <c r="C1336" s="205" t="s">
        <v>938</v>
      </c>
      <c r="D1336" s="162"/>
      <c r="E1336" s="163"/>
      <c r="F1336" s="159"/>
      <c r="G1336" s="164"/>
      <c r="H1336" s="204" t="s">
        <v>940</v>
      </c>
      <c r="I1336" s="211">
        <v>2024</v>
      </c>
      <c r="J1336" s="208">
        <v>3574</v>
      </c>
      <c r="K1336" s="159"/>
      <c r="L1336" s="204" t="s">
        <v>942</v>
      </c>
      <c r="N1336" s="141">
        <f t="shared" si="42"/>
        <v>1080</v>
      </c>
    </row>
    <row r="1337" spans="1:14" ht="15">
      <c r="A1337" s="159"/>
      <c r="B1337" s="143" t="str">
        <f t="shared" si="41"/>
        <v>1081.</v>
      </c>
      <c r="C1337" s="205" t="s">
        <v>938</v>
      </c>
      <c r="D1337" s="162"/>
      <c r="E1337" s="163"/>
      <c r="F1337" s="159"/>
      <c r="G1337" s="164"/>
      <c r="H1337" s="204" t="s">
        <v>940</v>
      </c>
      <c r="I1337" s="211">
        <v>2024</v>
      </c>
      <c r="J1337" s="208">
        <v>3574</v>
      </c>
      <c r="K1337" s="159"/>
      <c r="L1337" s="204" t="s">
        <v>942</v>
      </c>
      <c r="N1337" s="141">
        <f t="shared" si="42"/>
        <v>1081</v>
      </c>
    </row>
    <row r="1338" spans="1:14" ht="15">
      <c r="A1338" s="159"/>
      <c r="B1338" s="143" t="str">
        <f t="shared" si="41"/>
        <v>1082.</v>
      </c>
      <c r="C1338" s="205" t="s">
        <v>938</v>
      </c>
      <c r="D1338" s="162"/>
      <c r="E1338" s="163"/>
      <c r="F1338" s="159"/>
      <c r="G1338" s="164"/>
      <c r="H1338" s="204" t="s">
        <v>940</v>
      </c>
      <c r="I1338" s="211">
        <v>2024</v>
      </c>
      <c r="J1338" s="208">
        <v>4598</v>
      </c>
      <c r="K1338" s="159"/>
      <c r="L1338" s="204" t="s">
        <v>942</v>
      </c>
      <c r="N1338" s="141">
        <f t="shared" si="42"/>
        <v>1082</v>
      </c>
    </row>
    <row r="1339" spans="1:14" ht="15">
      <c r="A1339" s="159"/>
      <c r="B1339" s="143" t="str">
        <f t="shared" si="41"/>
        <v>1083.</v>
      </c>
      <c r="C1339" s="205" t="s">
        <v>938</v>
      </c>
      <c r="D1339" s="162"/>
      <c r="E1339" s="163"/>
      <c r="F1339" s="159"/>
      <c r="G1339" s="164"/>
      <c r="H1339" s="204" t="s">
        <v>940</v>
      </c>
      <c r="I1339" s="211">
        <v>2024</v>
      </c>
      <c r="J1339" s="208">
        <v>4149</v>
      </c>
      <c r="K1339" s="159"/>
      <c r="L1339" s="204" t="s">
        <v>942</v>
      </c>
      <c r="N1339" s="141">
        <f t="shared" si="42"/>
        <v>1083</v>
      </c>
    </row>
    <row r="1340" spans="1:14" ht="15">
      <c r="A1340" s="159"/>
      <c r="B1340" s="143" t="str">
        <f t="shared" si="41"/>
        <v>1084.</v>
      </c>
      <c r="C1340" s="205" t="s">
        <v>938</v>
      </c>
      <c r="D1340" s="162"/>
      <c r="E1340" s="163"/>
      <c r="F1340" s="159"/>
      <c r="G1340" s="164"/>
      <c r="H1340" s="204" t="s">
        <v>940</v>
      </c>
      <c r="I1340" s="211">
        <v>2024</v>
      </c>
      <c r="J1340" s="208">
        <v>4598</v>
      </c>
      <c r="K1340" s="159"/>
      <c r="L1340" s="204" t="s">
        <v>942</v>
      </c>
      <c r="N1340" s="141">
        <f t="shared" si="42"/>
        <v>1084</v>
      </c>
    </row>
    <row r="1341" spans="1:14" ht="15">
      <c r="A1341" s="159"/>
      <c r="B1341" s="143" t="str">
        <f t="shared" si="41"/>
        <v>1085.</v>
      </c>
      <c r="C1341" s="205" t="s">
        <v>938</v>
      </c>
      <c r="D1341" s="162"/>
      <c r="E1341" s="163"/>
      <c r="F1341" s="159"/>
      <c r="G1341" s="164"/>
      <c r="H1341" s="204" t="s">
        <v>940</v>
      </c>
      <c r="I1341" s="211">
        <v>2024</v>
      </c>
      <c r="J1341" s="208">
        <v>3413</v>
      </c>
      <c r="K1341" s="159"/>
      <c r="L1341" s="204" t="s">
        <v>942</v>
      </c>
      <c r="N1341" s="141">
        <f t="shared" si="42"/>
        <v>1085</v>
      </c>
    </row>
    <row r="1342" spans="1:14" ht="15">
      <c r="A1342" s="159"/>
      <c r="B1342" s="143" t="str">
        <f t="shared" si="41"/>
        <v>1086.</v>
      </c>
      <c r="C1342" s="205" t="s">
        <v>938</v>
      </c>
      <c r="D1342" s="162"/>
      <c r="E1342" s="163"/>
      <c r="F1342" s="159"/>
      <c r="G1342" s="164"/>
      <c r="H1342" s="204" t="s">
        <v>940</v>
      </c>
      <c r="I1342" s="211">
        <v>2024</v>
      </c>
      <c r="J1342" s="208">
        <v>3983</v>
      </c>
      <c r="K1342" s="159"/>
      <c r="L1342" s="204" t="s">
        <v>942</v>
      </c>
      <c r="N1342" s="141">
        <f t="shared" si="42"/>
        <v>1086</v>
      </c>
    </row>
    <row r="1343" spans="1:14" ht="15">
      <c r="A1343" s="159"/>
      <c r="B1343" s="143" t="str">
        <f t="shared" si="41"/>
        <v>1087.</v>
      </c>
      <c r="C1343" s="205" t="s">
        <v>938</v>
      </c>
      <c r="D1343" s="162"/>
      <c r="E1343" s="163"/>
      <c r="F1343" s="159"/>
      <c r="G1343" s="164"/>
      <c r="H1343" s="204" t="s">
        <v>940</v>
      </c>
      <c r="I1343" s="211">
        <v>2024</v>
      </c>
      <c r="J1343" s="208">
        <v>4779</v>
      </c>
      <c r="K1343" s="159"/>
      <c r="L1343" s="204" t="s">
        <v>942</v>
      </c>
      <c r="N1343" s="141">
        <f t="shared" si="42"/>
        <v>1087</v>
      </c>
    </row>
    <row r="1344" spans="1:14" ht="15">
      <c r="A1344" s="159"/>
      <c r="B1344" s="143" t="str">
        <f t="shared" si="41"/>
        <v>1088.</v>
      </c>
      <c r="C1344" s="205" t="s">
        <v>938</v>
      </c>
      <c r="D1344" s="162"/>
      <c r="E1344" s="163"/>
      <c r="F1344" s="159"/>
      <c r="G1344" s="164"/>
      <c r="H1344" s="204" t="s">
        <v>940</v>
      </c>
      <c r="I1344" s="211">
        <v>2024</v>
      </c>
      <c r="J1344" s="208">
        <v>3983</v>
      </c>
      <c r="K1344" s="159"/>
      <c r="L1344" s="204" t="s">
        <v>942</v>
      </c>
      <c r="N1344" s="141">
        <f t="shared" si="42"/>
        <v>1088</v>
      </c>
    </row>
    <row r="1345" spans="1:14" ht="15">
      <c r="A1345" s="159"/>
      <c r="B1345" s="143" t="str">
        <f t="shared" ref="B1345:B1374" si="43">N1345&amp;"."</f>
        <v>1089.</v>
      </c>
      <c r="C1345" s="205" t="s">
        <v>938</v>
      </c>
      <c r="D1345" s="162"/>
      <c r="E1345" s="163"/>
      <c r="F1345" s="159"/>
      <c r="G1345" s="164"/>
      <c r="H1345" s="204" t="s">
        <v>940</v>
      </c>
      <c r="I1345" s="211">
        <v>2024</v>
      </c>
      <c r="J1345" s="208">
        <v>4435</v>
      </c>
      <c r="K1345" s="159"/>
      <c r="L1345" s="204" t="s">
        <v>942</v>
      </c>
      <c r="N1345" s="141">
        <f t="shared" si="42"/>
        <v>1089</v>
      </c>
    </row>
    <row r="1346" spans="1:14" ht="15">
      <c r="A1346" s="159"/>
      <c r="B1346" s="143" t="str">
        <f t="shared" si="43"/>
        <v>1090.</v>
      </c>
      <c r="C1346" s="205" t="s">
        <v>938</v>
      </c>
      <c r="D1346" s="162"/>
      <c r="E1346" s="163"/>
      <c r="F1346" s="159"/>
      <c r="G1346" s="164"/>
      <c r="H1346" s="204" t="s">
        <v>940</v>
      </c>
      <c r="I1346" s="211">
        <v>2024</v>
      </c>
      <c r="J1346" s="208">
        <v>4435</v>
      </c>
      <c r="K1346" s="159"/>
      <c r="L1346" s="204" t="s">
        <v>942</v>
      </c>
      <c r="N1346" s="141">
        <f t="shared" si="42"/>
        <v>1090</v>
      </c>
    </row>
    <row r="1347" spans="1:14" ht="15">
      <c r="A1347" s="159"/>
      <c r="B1347" s="143" t="str">
        <f t="shared" si="43"/>
        <v>1091.</v>
      </c>
      <c r="C1347" s="205" t="s">
        <v>938</v>
      </c>
      <c r="D1347" s="162"/>
      <c r="E1347" s="163"/>
      <c r="F1347" s="159"/>
      <c r="G1347" s="164"/>
      <c r="H1347" s="204" t="s">
        <v>940</v>
      </c>
      <c r="I1347" s="211">
        <v>2024</v>
      </c>
      <c r="J1347" s="208">
        <v>4162</v>
      </c>
      <c r="K1347" s="159"/>
      <c r="L1347" s="204" t="s">
        <v>942</v>
      </c>
      <c r="N1347" s="141">
        <f t="shared" ref="N1347:N1374" si="44">N1346+1</f>
        <v>1091</v>
      </c>
    </row>
    <row r="1348" spans="1:14" ht="15">
      <c r="A1348" s="159"/>
      <c r="B1348" s="143" t="str">
        <f t="shared" si="43"/>
        <v>1092.</v>
      </c>
      <c r="C1348" s="205" t="s">
        <v>938</v>
      </c>
      <c r="D1348" s="162"/>
      <c r="E1348" s="163"/>
      <c r="F1348" s="159"/>
      <c r="G1348" s="164"/>
      <c r="H1348" s="204" t="s">
        <v>940</v>
      </c>
      <c r="I1348" s="211">
        <v>2024</v>
      </c>
      <c r="J1348" s="208">
        <v>4331</v>
      </c>
      <c r="K1348" s="159"/>
      <c r="L1348" s="204" t="s">
        <v>942</v>
      </c>
      <c r="N1348" s="141">
        <f t="shared" si="44"/>
        <v>1092</v>
      </c>
    </row>
    <row r="1349" spans="1:14" ht="15">
      <c r="A1349" s="159"/>
      <c r="B1349" s="143" t="str">
        <f t="shared" si="43"/>
        <v>1093.</v>
      </c>
      <c r="C1349" s="205" t="s">
        <v>938</v>
      </c>
      <c r="D1349" s="162"/>
      <c r="E1349" s="163"/>
      <c r="F1349" s="159"/>
      <c r="G1349" s="164"/>
      <c r="H1349" s="204" t="s">
        <v>940</v>
      </c>
      <c r="I1349" s="211">
        <v>2024</v>
      </c>
      <c r="J1349" s="208">
        <v>4331</v>
      </c>
      <c r="K1349" s="159"/>
      <c r="L1349" s="204" t="s">
        <v>942</v>
      </c>
      <c r="N1349" s="141">
        <f t="shared" si="44"/>
        <v>1093</v>
      </c>
    </row>
    <row r="1350" spans="1:14" ht="15">
      <c r="A1350" s="159"/>
      <c r="B1350" s="143" t="str">
        <f t="shared" si="43"/>
        <v>1094.</v>
      </c>
      <c r="C1350" s="205" t="s">
        <v>938</v>
      </c>
      <c r="D1350" s="162"/>
      <c r="E1350" s="163"/>
      <c r="F1350" s="159"/>
      <c r="G1350" s="164"/>
      <c r="H1350" s="204" t="s">
        <v>940</v>
      </c>
      <c r="I1350" s="211">
        <v>2024</v>
      </c>
      <c r="J1350" s="208">
        <v>5290</v>
      </c>
      <c r="K1350" s="159"/>
      <c r="L1350" s="204" t="s">
        <v>942</v>
      </c>
      <c r="N1350" s="141">
        <f t="shared" si="44"/>
        <v>1094</v>
      </c>
    </row>
    <row r="1351" spans="1:14" ht="15">
      <c r="A1351" s="159"/>
      <c r="B1351" s="143" t="str">
        <f t="shared" si="43"/>
        <v>1095.</v>
      </c>
      <c r="C1351" s="205" t="s">
        <v>938</v>
      </c>
      <c r="D1351" s="162"/>
      <c r="E1351" s="163"/>
      <c r="F1351" s="159"/>
      <c r="G1351" s="164"/>
      <c r="H1351" s="204" t="s">
        <v>940</v>
      </c>
      <c r="I1351" s="211">
        <v>2024</v>
      </c>
      <c r="J1351" s="208">
        <v>5716</v>
      </c>
      <c r="K1351" s="159"/>
      <c r="L1351" s="204" t="s">
        <v>942</v>
      </c>
      <c r="N1351" s="141">
        <f t="shared" si="44"/>
        <v>1095</v>
      </c>
    </row>
    <row r="1352" spans="1:14" ht="15">
      <c r="A1352" s="159"/>
      <c r="B1352" s="143" t="str">
        <f t="shared" si="43"/>
        <v>1096.</v>
      </c>
      <c r="C1352" s="205" t="s">
        <v>938</v>
      </c>
      <c r="D1352" s="162"/>
      <c r="E1352" s="163"/>
      <c r="F1352" s="159"/>
      <c r="G1352" s="164"/>
      <c r="H1352" s="204" t="s">
        <v>940</v>
      </c>
      <c r="I1352" s="211">
        <v>2024</v>
      </c>
      <c r="J1352" s="208">
        <v>5488</v>
      </c>
      <c r="K1352" s="159"/>
      <c r="L1352" s="204" t="s">
        <v>942</v>
      </c>
      <c r="N1352" s="141">
        <f t="shared" si="44"/>
        <v>1096</v>
      </c>
    </row>
    <row r="1353" spans="1:14" ht="15">
      <c r="A1353" s="159"/>
      <c r="B1353" s="143" t="str">
        <f t="shared" si="43"/>
        <v>1097.</v>
      </c>
      <c r="C1353" s="205" t="s">
        <v>938</v>
      </c>
      <c r="D1353" s="162"/>
      <c r="E1353" s="163"/>
      <c r="F1353" s="159"/>
      <c r="G1353" s="164"/>
      <c r="H1353" s="204" t="s">
        <v>940</v>
      </c>
      <c r="I1353" s="211">
        <v>2024</v>
      </c>
      <c r="J1353" s="208">
        <v>5488</v>
      </c>
      <c r="K1353" s="159"/>
      <c r="L1353" s="204" t="s">
        <v>942</v>
      </c>
      <c r="N1353" s="141">
        <f t="shared" si="44"/>
        <v>1097</v>
      </c>
    </row>
    <row r="1354" spans="1:14" ht="15">
      <c r="A1354" s="159"/>
      <c r="B1354" s="143" t="str">
        <f t="shared" si="43"/>
        <v>1098.</v>
      </c>
      <c r="C1354" s="205" t="s">
        <v>938</v>
      </c>
      <c r="D1354" s="162"/>
      <c r="E1354" s="163"/>
      <c r="F1354" s="159"/>
      <c r="G1354" s="164"/>
      <c r="H1354" s="204" t="s">
        <v>940</v>
      </c>
      <c r="I1354" s="211">
        <v>2024</v>
      </c>
      <c r="J1354" s="208">
        <v>5716</v>
      </c>
      <c r="K1354" s="159"/>
      <c r="L1354" s="204" t="s">
        <v>942</v>
      </c>
      <c r="N1354" s="141">
        <f t="shared" si="44"/>
        <v>1098</v>
      </c>
    </row>
    <row r="1355" spans="1:14" ht="15">
      <c r="A1355" s="159"/>
      <c r="B1355" s="143" t="str">
        <f t="shared" si="43"/>
        <v>1099.</v>
      </c>
      <c r="C1355" s="205" t="s">
        <v>938</v>
      </c>
      <c r="D1355" s="162"/>
      <c r="E1355" s="163"/>
      <c r="F1355" s="159"/>
      <c r="G1355" s="164"/>
      <c r="H1355" s="204" t="s">
        <v>940</v>
      </c>
      <c r="I1355" s="211">
        <v>2024</v>
      </c>
      <c r="J1355" s="208">
        <v>5596</v>
      </c>
      <c r="K1355" s="159"/>
      <c r="L1355" s="204" t="s">
        <v>942</v>
      </c>
      <c r="N1355" s="141">
        <f t="shared" si="44"/>
        <v>1099</v>
      </c>
    </row>
    <row r="1356" spans="1:14" ht="15">
      <c r="A1356" s="159"/>
      <c r="B1356" s="143" t="str">
        <f t="shared" si="43"/>
        <v>1100.</v>
      </c>
      <c r="C1356" s="205" t="s">
        <v>938</v>
      </c>
      <c r="D1356" s="162"/>
      <c r="E1356" s="163"/>
      <c r="F1356" s="159"/>
      <c r="G1356" s="164"/>
      <c r="H1356" s="204" t="s">
        <v>940</v>
      </c>
      <c r="I1356" s="211">
        <v>2024</v>
      </c>
      <c r="J1356" s="208">
        <v>5134</v>
      </c>
      <c r="K1356" s="159"/>
      <c r="L1356" s="204" t="s">
        <v>942</v>
      </c>
      <c r="N1356" s="141">
        <f t="shared" si="44"/>
        <v>1100</v>
      </c>
    </row>
    <row r="1357" spans="1:14" ht="15">
      <c r="A1357" s="159"/>
      <c r="B1357" s="143" t="str">
        <f t="shared" si="43"/>
        <v>1101.</v>
      </c>
      <c r="C1357" s="205" t="s">
        <v>938</v>
      </c>
      <c r="D1357" s="162"/>
      <c r="E1357" s="163"/>
      <c r="F1357" s="159"/>
      <c r="G1357" s="164"/>
      <c r="H1357" s="204" t="s">
        <v>940</v>
      </c>
      <c r="I1357" s="211">
        <v>2024</v>
      </c>
      <c r="J1357" s="208">
        <v>5596</v>
      </c>
      <c r="K1357" s="159"/>
      <c r="L1357" s="204" t="s">
        <v>942</v>
      </c>
      <c r="N1357" s="141">
        <f t="shared" si="44"/>
        <v>1101</v>
      </c>
    </row>
    <row r="1358" spans="1:14" ht="15">
      <c r="A1358" s="159"/>
      <c r="B1358" s="143" t="str">
        <f t="shared" si="43"/>
        <v>1102.</v>
      </c>
      <c r="C1358" s="205" t="s">
        <v>938</v>
      </c>
      <c r="D1358" s="162"/>
      <c r="E1358" s="163"/>
      <c r="F1358" s="159"/>
      <c r="G1358" s="164"/>
      <c r="H1358" s="204" t="s">
        <v>940</v>
      </c>
      <c r="I1358" s="211">
        <v>2024</v>
      </c>
      <c r="J1358" s="208">
        <v>4331</v>
      </c>
      <c r="K1358" s="159"/>
      <c r="L1358" s="204" t="s">
        <v>942</v>
      </c>
      <c r="N1358" s="141">
        <f t="shared" si="44"/>
        <v>1102</v>
      </c>
    </row>
    <row r="1359" spans="1:14" ht="15">
      <c r="A1359" s="159"/>
      <c r="B1359" s="143" t="str">
        <f t="shared" si="43"/>
        <v>1103.</v>
      </c>
      <c r="C1359" s="205" t="s">
        <v>938</v>
      </c>
      <c r="D1359" s="162"/>
      <c r="E1359" s="163"/>
      <c r="F1359" s="159"/>
      <c r="G1359" s="164"/>
      <c r="H1359" s="204" t="s">
        <v>940</v>
      </c>
      <c r="I1359" s="211">
        <v>2024</v>
      </c>
      <c r="J1359" s="208">
        <v>4331</v>
      </c>
      <c r="K1359" s="159"/>
      <c r="L1359" s="204" t="s">
        <v>942</v>
      </c>
      <c r="N1359" s="141">
        <f t="shared" si="44"/>
        <v>1103</v>
      </c>
    </row>
    <row r="1360" spans="1:14" ht="15">
      <c r="A1360" s="159"/>
      <c r="B1360" s="143" t="str">
        <f t="shared" si="43"/>
        <v>1104.</v>
      </c>
      <c r="C1360" s="205" t="s">
        <v>938</v>
      </c>
      <c r="D1360" s="162"/>
      <c r="E1360" s="163"/>
      <c r="F1360" s="159"/>
      <c r="G1360" s="164"/>
      <c r="H1360" s="204" t="s">
        <v>940</v>
      </c>
      <c r="I1360" s="211">
        <v>2024</v>
      </c>
      <c r="J1360" s="208">
        <v>5981</v>
      </c>
      <c r="K1360" s="159"/>
      <c r="L1360" s="204" t="s">
        <v>942</v>
      </c>
      <c r="N1360" s="141">
        <f t="shared" si="44"/>
        <v>1104</v>
      </c>
    </row>
    <row r="1361" spans="1:14" ht="15">
      <c r="A1361" s="159"/>
      <c r="B1361" s="143" t="str">
        <f t="shared" si="43"/>
        <v>1105.</v>
      </c>
      <c r="C1361" s="205" t="s">
        <v>938</v>
      </c>
      <c r="D1361" s="162"/>
      <c r="E1361" s="163"/>
      <c r="F1361" s="159"/>
      <c r="G1361" s="164"/>
      <c r="H1361" s="204" t="s">
        <v>940</v>
      </c>
      <c r="I1361" s="211">
        <v>2024</v>
      </c>
      <c r="J1361" s="208">
        <v>4331</v>
      </c>
      <c r="K1361" s="159"/>
      <c r="L1361" s="204" t="s">
        <v>942</v>
      </c>
      <c r="N1361" s="141">
        <f t="shared" si="44"/>
        <v>1105</v>
      </c>
    </row>
    <row r="1362" spans="1:14" ht="15">
      <c r="A1362" s="159"/>
      <c r="B1362" s="143" t="str">
        <f t="shared" si="43"/>
        <v>1106.</v>
      </c>
      <c r="C1362" s="205" t="s">
        <v>938</v>
      </c>
      <c r="D1362" s="162"/>
      <c r="E1362" s="163"/>
      <c r="F1362" s="159"/>
      <c r="G1362" s="164"/>
      <c r="H1362" s="204" t="s">
        <v>940</v>
      </c>
      <c r="I1362" s="211">
        <v>2024</v>
      </c>
      <c r="J1362" s="208">
        <v>5905</v>
      </c>
      <c r="K1362" s="159"/>
      <c r="L1362" s="204" t="s">
        <v>942</v>
      </c>
      <c r="N1362" s="141">
        <f t="shared" si="44"/>
        <v>1106</v>
      </c>
    </row>
    <row r="1363" spans="1:14" ht="15">
      <c r="A1363" s="159"/>
      <c r="B1363" s="143" t="str">
        <f t="shared" si="43"/>
        <v>1107.</v>
      </c>
      <c r="C1363" s="205" t="s">
        <v>938</v>
      </c>
      <c r="D1363" s="162"/>
      <c r="E1363" s="163"/>
      <c r="F1363" s="159"/>
      <c r="G1363" s="164"/>
      <c r="H1363" s="204" t="s">
        <v>940</v>
      </c>
      <c r="I1363" s="211">
        <v>2024</v>
      </c>
      <c r="J1363" s="208">
        <v>5800</v>
      </c>
      <c r="K1363" s="159"/>
      <c r="L1363" s="204" t="s">
        <v>942</v>
      </c>
      <c r="N1363" s="141">
        <f t="shared" si="44"/>
        <v>1107</v>
      </c>
    </row>
    <row r="1364" spans="1:14" ht="15">
      <c r="A1364" s="159"/>
      <c r="B1364" s="143" t="str">
        <f t="shared" si="43"/>
        <v>1108.</v>
      </c>
      <c r="C1364" s="205" t="s">
        <v>938</v>
      </c>
      <c r="D1364" s="162"/>
      <c r="E1364" s="163"/>
      <c r="F1364" s="159"/>
      <c r="G1364" s="164"/>
      <c r="H1364" s="204" t="s">
        <v>940</v>
      </c>
      <c r="I1364" s="211">
        <v>2024</v>
      </c>
      <c r="J1364" s="208">
        <v>4331</v>
      </c>
      <c r="K1364" s="159"/>
      <c r="L1364" s="204" t="s">
        <v>942</v>
      </c>
      <c r="N1364" s="141">
        <f t="shared" si="44"/>
        <v>1108</v>
      </c>
    </row>
    <row r="1365" spans="1:14" ht="15">
      <c r="A1365" s="159"/>
      <c r="B1365" s="143" t="str">
        <f t="shared" si="43"/>
        <v>1109.</v>
      </c>
      <c r="C1365" s="205" t="s">
        <v>938</v>
      </c>
      <c r="D1365" s="162"/>
      <c r="E1365" s="163"/>
      <c r="F1365" s="159"/>
      <c r="G1365" s="164"/>
      <c r="H1365" s="204" t="s">
        <v>940</v>
      </c>
      <c r="I1365" s="211">
        <v>2024</v>
      </c>
      <c r="J1365" s="208">
        <v>5905</v>
      </c>
      <c r="K1365" s="159"/>
      <c r="L1365" s="204" t="s">
        <v>942</v>
      </c>
      <c r="N1365" s="141">
        <f t="shared" si="44"/>
        <v>1109</v>
      </c>
    </row>
    <row r="1366" spans="1:14" ht="15">
      <c r="A1366" s="159"/>
      <c r="B1366" s="143" t="str">
        <f t="shared" si="43"/>
        <v>1110.</v>
      </c>
      <c r="C1366" s="205" t="s">
        <v>938</v>
      </c>
      <c r="D1366" s="162"/>
      <c r="E1366" s="163"/>
      <c r="F1366" s="159"/>
      <c r="G1366" s="164"/>
      <c r="H1366" s="204" t="s">
        <v>940</v>
      </c>
      <c r="I1366" s="211">
        <v>2024</v>
      </c>
      <c r="J1366" s="208">
        <v>5172</v>
      </c>
      <c r="K1366" s="159"/>
      <c r="L1366" s="204" t="s">
        <v>942</v>
      </c>
      <c r="N1366" s="141">
        <f t="shared" si="44"/>
        <v>1110</v>
      </c>
    </row>
    <row r="1367" spans="1:14" ht="15">
      <c r="A1367" s="159"/>
      <c r="B1367" s="143" t="str">
        <f t="shared" si="43"/>
        <v>1111.</v>
      </c>
      <c r="C1367" s="205" t="s">
        <v>938</v>
      </c>
      <c r="D1367" s="162"/>
      <c r="E1367" s="163"/>
      <c r="F1367" s="159"/>
      <c r="G1367" s="164"/>
      <c r="H1367" s="204" t="s">
        <v>940</v>
      </c>
      <c r="I1367" s="211">
        <v>2024</v>
      </c>
      <c r="J1367" s="208">
        <v>5172</v>
      </c>
      <c r="K1367" s="159"/>
      <c r="L1367" s="204" t="s">
        <v>942</v>
      </c>
      <c r="N1367" s="141">
        <f t="shared" si="44"/>
        <v>1111</v>
      </c>
    </row>
    <row r="1368" spans="1:14" ht="15">
      <c r="A1368" s="159"/>
      <c r="B1368" s="143" t="str">
        <f t="shared" si="43"/>
        <v>1112.</v>
      </c>
      <c r="C1368" s="205" t="s">
        <v>938</v>
      </c>
      <c r="D1368" s="162"/>
      <c r="E1368" s="163"/>
      <c r="F1368" s="159"/>
      <c r="G1368" s="164"/>
      <c r="H1368" s="204" t="s">
        <v>940</v>
      </c>
      <c r="I1368" s="211">
        <v>2024</v>
      </c>
      <c r="J1368" s="208">
        <v>4331</v>
      </c>
      <c r="K1368" s="159"/>
      <c r="L1368" s="204" t="s">
        <v>942</v>
      </c>
      <c r="N1368" s="141">
        <f t="shared" si="44"/>
        <v>1112</v>
      </c>
    </row>
    <row r="1369" spans="1:14" ht="15">
      <c r="A1369" s="159"/>
      <c r="B1369" s="143" t="str">
        <f t="shared" si="43"/>
        <v>1113.</v>
      </c>
      <c r="C1369" s="205" t="s">
        <v>938</v>
      </c>
      <c r="D1369" s="162"/>
      <c r="E1369" s="163"/>
      <c r="F1369" s="159"/>
      <c r="G1369" s="164"/>
      <c r="H1369" s="204" t="s">
        <v>940</v>
      </c>
      <c r="I1369" s="211">
        <v>2024</v>
      </c>
      <c r="J1369" s="208">
        <v>4331</v>
      </c>
      <c r="K1369" s="159"/>
      <c r="L1369" s="204" t="s">
        <v>942</v>
      </c>
      <c r="N1369" s="141">
        <f t="shared" si="44"/>
        <v>1113</v>
      </c>
    </row>
    <row r="1370" spans="1:14" ht="15">
      <c r="A1370" s="159"/>
      <c r="B1370" s="143" t="str">
        <f t="shared" si="43"/>
        <v>1114.</v>
      </c>
      <c r="C1370" s="205" t="s">
        <v>938</v>
      </c>
      <c r="D1370" s="162"/>
      <c r="E1370" s="163"/>
      <c r="F1370" s="159"/>
      <c r="G1370" s="164"/>
      <c r="H1370" s="204" t="s">
        <v>940</v>
      </c>
      <c r="I1370" s="211">
        <v>2024</v>
      </c>
      <c r="J1370" s="208">
        <v>4331</v>
      </c>
      <c r="K1370" s="159"/>
      <c r="L1370" s="204" t="s">
        <v>942</v>
      </c>
      <c r="N1370" s="141">
        <f t="shared" si="44"/>
        <v>1114</v>
      </c>
    </row>
    <row r="1371" spans="1:14" ht="15">
      <c r="A1371" s="159"/>
      <c r="B1371" s="143" t="str">
        <f t="shared" si="43"/>
        <v>1115.</v>
      </c>
      <c r="C1371" s="205" t="s">
        <v>938</v>
      </c>
      <c r="D1371" s="162"/>
      <c r="E1371" s="163"/>
      <c r="F1371" s="159"/>
      <c r="G1371" s="164"/>
      <c r="H1371" s="204" t="s">
        <v>940</v>
      </c>
      <c r="I1371" s="211">
        <v>2024</v>
      </c>
      <c r="J1371" s="208">
        <v>5172</v>
      </c>
      <c r="K1371" s="159"/>
      <c r="L1371" s="204" t="s">
        <v>942</v>
      </c>
      <c r="N1371" s="141">
        <f t="shared" si="44"/>
        <v>1115</v>
      </c>
    </row>
    <row r="1372" spans="1:14" ht="15">
      <c r="A1372" s="159"/>
      <c r="B1372" s="143" t="str">
        <f t="shared" si="43"/>
        <v>1116.</v>
      </c>
      <c r="C1372" s="205" t="s">
        <v>938</v>
      </c>
      <c r="D1372" s="162"/>
      <c r="E1372" s="163"/>
      <c r="F1372" s="159"/>
      <c r="G1372" s="164"/>
      <c r="H1372" s="204" t="s">
        <v>940</v>
      </c>
      <c r="I1372" s="211">
        <v>2024</v>
      </c>
      <c r="J1372" s="208">
        <v>5172</v>
      </c>
      <c r="K1372" s="159"/>
      <c r="L1372" s="204" t="s">
        <v>942</v>
      </c>
      <c r="N1372" s="141">
        <f t="shared" si="44"/>
        <v>1116</v>
      </c>
    </row>
    <row r="1373" spans="1:14" ht="15">
      <c r="A1373" s="159"/>
      <c r="B1373" s="143" t="str">
        <f t="shared" si="43"/>
        <v>1117.</v>
      </c>
      <c r="C1373" s="205" t="s">
        <v>938</v>
      </c>
      <c r="D1373" s="162"/>
      <c r="E1373" s="163"/>
      <c r="F1373" s="159"/>
      <c r="G1373" s="164"/>
      <c r="H1373" s="204" t="s">
        <v>940</v>
      </c>
      <c r="I1373" s="211">
        <v>2024</v>
      </c>
      <c r="J1373" s="208">
        <v>5981</v>
      </c>
      <c r="K1373" s="159"/>
      <c r="L1373" s="204" t="s">
        <v>942</v>
      </c>
      <c r="N1373" s="141">
        <f t="shared" si="44"/>
        <v>1117</v>
      </c>
    </row>
    <row r="1374" spans="1:14" ht="15">
      <c r="A1374" s="159"/>
      <c r="B1374" s="143" t="str">
        <f t="shared" si="43"/>
        <v>1118.</v>
      </c>
      <c r="C1374" s="205" t="s">
        <v>938</v>
      </c>
      <c r="D1374" s="162"/>
      <c r="E1374" s="163"/>
      <c r="F1374" s="159"/>
      <c r="G1374" s="164"/>
      <c r="H1374" s="204" t="s">
        <v>940</v>
      </c>
      <c r="I1374" s="211">
        <v>2024</v>
      </c>
      <c r="J1374" s="208">
        <v>7830</v>
      </c>
      <c r="K1374" s="159"/>
      <c r="L1374" s="204" t="s">
        <v>942</v>
      </c>
      <c r="N1374" s="141">
        <f t="shared" si="44"/>
        <v>1118</v>
      </c>
    </row>
    <row r="1375" spans="1:14" ht="15">
      <c r="A1375" s="159"/>
      <c r="B1375" s="143"/>
      <c r="C1375" s="205" t="s">
        <v>938</v>
      </c>
      <c r="D1375" s="162"/>
      <c r="E1375" s="163"/>
      <c r="F1375" s="159"/>
      <c r="G1375" s="164"/>
      <c r="H1375" s="204" t="s">
        <v>940</v>
      </c>
      <c r="I1375" s="211">
        <v>2024</v>
      </c>
      <c r="J1375" s="208">
        <v>6821</v>
      </c>
      <c r="K1375" s="159"/>
      <c r="L1375" s="204" t="s">
        <v>942</v>
      </c>
    </row>
    <row r="1376" spans="1:14" ht="15">
      <c r="A1376" s="159"/>
      <c r="B1376" s="143"/>
      <c r="C1376" s="205" t="s">
        <v>938</v>
      </c>
      <c r="D1376" s="162"/>
      <c r="E1376" s="163"/>
      <c r="F1376" s="159"/>
      <c r="G1376" s="164"/>
      <c r="H1376" s="204" t="s">
        <v>940</v>
      </c>
      <c r="I1376" s="211">
        <v>2024</v>
      </c>
      <c r="J1376" s="208">
        <v>8381</v>
      </c>
      <c r="K1376" s="159"/>
      <c r="L1376" s="204" t="s">
        <v>942</v>
      </c>
    </row>
    <row r="1377" spans="1:12" ht="15">
      <c r="A1377" s="159"/>
      <c r="B1377" s="143"/>
      <c r="C1377" s="205" t="s">
        <v>938</v>
      </c>
      <c r="D1377" s="162"/>
      <c r="E1377" s="163"/>
      <c r="F1377" s="159"/>
      <c r="G1377" s="164"/>
      <c r="H1377" s="204" t="s">
        <v>940</v>
      </c>
      <c r="I1377" s="211">
        <v>2024</v>
      </c>
      <c r="J1377" s="208">
        <v>7043</v>
      </c>
      <c r="K1377" s="159"/>
      <c r="L1377" s="204" t="s">
        <v>942</v>
      </c>
    </row>
    <row r="1378" spans="1:12" ht="15">
      <c r="A1378" s="159"/>
      <c r="B1378" s="143"/>
      <c r="C1378" s="205" t="s">
        <v>938</v>
      </c>
      <c r="D1378" s="162"/>
      <c r="E1378" s="163"/>
      <c r="F1378" s="159"/>
      <c r="G1378" s="164"/>
      <c r="H1378" s="204" t="s">
        <v>940</v>
      </c>
      <c r="I1378" s="211">
        <v>2024</v>
      </c>
      <c r="J1378" s="208">
        <v>4331</v>
      </c>
      <c r="K1378" s="159"/>
      <c r="L1378" s="204" t="s">
        <v>942</v>
      </c>
    </row>
    <row r="1379" spans="1:12" ht="15">
      <c r="A1379" s="159"/>
      <c r="B1379" s="143"/>
      <c r="C1379" s="205" t="s">
        <v>938</v>
      </c>
      <c r="D1379" s="162"/>
      <c r="E1379" s="163"/>
      <c r="F1379" s="159"/>
      <c r="G1379" s="164"/>
      <c r="H1379" s="204" t="s">
        <v>940</v>
      </c>
      <c r="I1379" s="211">
        <v>2024</v>
      </c>
      <c r="J1379" s="208">
        <v>5981</v>
      </c>
      <c r="K1379" s="159"/>
      <c r="L1379" s="204" t="s">
        <v>942</v>
      </c>
    </row>
    <row r="1380" spans="1:12" ht="15">
      <c r="A1380" s="159"/>
      <c r="B1380" s="143"/>
      <c r="C1380" s="205" t="s">
        <v>938</v>
      </c>
      <c r="D1380" s="162"/>
      <c r="E1380" s="163"/>
      <c r="F1380" s="159"/>
      <c r="G1380" s="164"/>
      <c r="H1380" s="204" t="s">
        <v>940</v>
      </c>
      <c r="I1380" s="211">
        <v>2024</v>
      </c>
      <c r="J1380" s="208">
        <v>5981</v>
      </c>
      <c r="K1380" s="159"/>
      <c r="L1380" s="204" t="s">
        <v>942</v>
      </c>
    </row>
    <row r="1381" spans="1:12" ht="15">
      <c r="A1381" s="159"/>
      <c r="B1381" s="143"/>
      <c r="C1381" s="205" t="s">
        <v>938</v>
      </c>
      <c r="D1381" s="162"/>
      <c r="E1381" s="163"/>
      <c r="F1381" s="159"/>
      <c r="G1381" s="164"/>
      <c r="H1381" s="204" t="s">
        <v>940</v>
      </c>
      <c r="I1381" s="211">
        <v>2024</v>
      </c>
      <c r="J1381" s="208">
        <v>5981</v>
      </c>
      <c r="K1381" s="159"/>
      <c r="L1381" s="204" t="s">
        <v>942</v>
      </c>
    </row>
    <row r="1382" spans="1:12" ht="15">
      <c r="A1382" s="159"/>
      <c r="B1382" s="143"/>
      <c r="C1382" s="205" t="s">
        <v>938</v>
      </c>
      <c r="D1382" s="162"/>
      <c r="E1382" s="163"/>
      <c r="F1382" s="159"/>
      <c r="G1382" s="164"/>
      <c r="H1382" s="204" t="s">
        <v>940</v>
      </c>
      <c r="I1382" s="211">
        <v>2024</v>
      </c>
      <c r="J1382" s="208">
        <v>5172</v>
      </c>
      <c r="K1382" s="159"/>
      <c r="L1382" s="204" t="s">
        <v>942</v>
      </c>
    </row>
    <row r="1383" spans="1:12" ht="15">
      <c r="A1383" s="159"/>
      <c r="B1383" s="143"/>
      <c r="C1383" s="205" t="s">
        <v>938</v>
      </c>
      <c r="D1383" s="162"/>
      <c r="E1383" s="163"/>
      <c r="F1383" s="159"/>
      <c r="G1383" s="164"/>
      <c r="H1383" s="204" t="s">
        <v>940</v>
      </c>
      <c r="I1383" s="211">
        <v>2024</v>
      </c>
      <c r="J1383" s="208">
        <v>5981</v>
      </c>
      <c r="K1383" s="159"/>
      <c r="L1383" s="204" t="s">
        <v>942</v>
      </c>
    </row>
    <row r="1384" spans="1:12" ht="15">
      <c r="A1384" s="159"/>
      <c r="B1384" s="143"/>
      <c r="C1384" s="205" t="s">
        <v>938</v>
      </c>
      <c r="D1384" s="162"/>
      <c r="E1384" s="163"/>
      <c r="F1384" s="159"/>
      <c r="G1384" s="164"/>
      <c r="H1384" s="204" t="s">
        <v>940</v>
      </c>
      <c r="I1384" s="211">
        <v>2024</v>
      </c>
      <c r="J1384" s="208">
        <v>4779</v>
      </c>
      <c r="K1384" s="159"/>
      <c r="L1384" s="204" t="s">
        <v>942</v>
      </c>
    </row>
    <row r="1385" spans="1:12" ht="15">
      <c r="A1385" s="159"/>
      <c r="B1385" s="143"/>
      <c r="C1385" s="205" t="s">
        <v>938</v>
      </c>
      <c r="D1385" s="162"/>
      <c r="E1385" s="163"/>
      <c r="F1385" s="159"/>
      <c r="G1385" s="164"/>
      <c r="H1385" s="204" t="s">
        <v>940</v>
      </c>
      <c r="I1385" s="211">
        <v>2024</v>
      </c>
      <c r="J1385" s="208">
        <v>3882</v>
      </c>
      <c r="K1385" s="159"/>
      <c r="L1385" s="204" t="s">
        <v>942</v>
      </c>
    </row>
    <row r="1386" spans="1:12" ht="15">
      <c r="A1386" s="159"/>
      <c r="B1386" s="143"/>
      <c r="C1386" s="205" t="s">
        <v>938</v>
      </c>
      <c r="D1386" s="162"/>
      <c r="E1386" s="163"/>
      <c r="F1386" s="159"/>
      <c r="G1386" s="164"/>
      <c r="H1386" s="204" t="s">
        <v>940</v>
      </c>
      <c r="I1386" s="211">
        <v>2024</v>
      </c>
      <c r="J1386" s="208">
        <v>3882</v>
      </c>
      <c r="K1386" s="159"/>
      <c r="L1386" s="204" t="s">
        <v>942</v>
      </c>
    </row>
    <row r="1387" spans="1:12" ht="15">
      <c r="A1387" s="159"/>
      <c r="B1387" s="143"/>
      <c r="C1387" s="205" t="s">
        <v>938</v>
      </c>
      <c r="D1387" s="162"/>
      <c r="E1387" s="163"/>
      <c r="F1387" s="159"/>
      <c r="G1387" s="164"/>
      <c r="H1387" s="204" t="s">
        <v>940</v>
      </c>
      <c r="I1387" s="211">
        <v>2024</v>
      </c>
      <c r="J1387" s="208">
        <v>3370</v>
      </c>
      <c r="K1387" s="159"/>
      <c r="L1387" s="204" t="s">
        <v>942</v>
      </c>
    </row>
    <row r="1388" spans="1:12" ht="15">
      <c r="A1388" s="159"/>
      <c r="B1388" s="143"/>
      <c r="C1388" s="205" t="s">
        <v>938</v>
      </c>
      <c r="D1388" s="162"/>
      <c r="E1388" s="163"/>
      <c r="F1388" s="159"/>
      <c r="G1388" s="164"/>
      <c r="H1388" s="204" t="s">
        <v>940</v>
      </c>
      <c r="I1388" s="211">
        <v>2024</v>
      </c>
      <c r="J1388" s="208">
        <v>3370</v>
      </c>
      <c r="K1388" s="159"/>
      <c r="L1388" s="204" t="s">
        <v>942</v>
      </c>
    </row>
    <row r="1389" spans="1:12" ht="15">
      <c r="A1389" s="159"/>
      <c r="B1389" s="143"/>
      <c r="C1389" s="205" t="s">
        <v>938</v>
      </c>
      <c r="D1389" s="162"/>
      <c r="E1389" s="163"/>
      <c r="F1389" s="159"/>
      <c r="G1389" s="164"/>
      <c r="H1389" s="204" t="s">
        <v>940</v>
      </c>
      <c r="I1389" s="211">
        <v>2024</v>
      </c>
      <c r="J1389" s="208">
        <v>3370</v>
      </c>
      <c r="K1389" s="159"/>
      <c r="L1389" s="204" t="s">
        <v>942</v>
      </c>
    </row>
    <row r="1390" spans="1:12" ht="15">
      <c r="A1390" s="159"/>
      <c r="B1390" s="143"/>
      <c r="C1390" s="205" t="s">
        <v>938</v>
      </c>
      <c r="D1390" s="162"/>
      <c r="E1390" s="163"/>
      <c r="F1390" s="159"/>
      <c r="G1390" s="164"/>
      <c r="H1390" s="204" t="s">
        <v>940</v>
      </c>
      <c r="I1390" s="211">
        <v>2024</v>
      </c>
      <c r="J1390" s="208">
        <v>4162</v>
      </c>
      <c r="K1390" s="159"/>
      <c r="L1390" s="204" t="s">
        <v>942</v>
      </c>
    </row>
    <row r="1391" spans="1:12" ht="15">
      <c r="A1391" s="159"/>
      <c r="B1391" s="143"/>
      <c r="C1391" s="205" t="s">
        <v>938</v>
      </c>
      <c r="D1391" s="162"/>
      <c r="E1391" s="163"/>
      <c r="F1391" s="159"/>
      <c r="G1391" s="164"/>
      <c r="H1391" s="204" t="s">
        <v>940</v>
      </c>
      <c r="I1391" s="211">
        <v>2024</v>
      </c>
      <c r="J1391" s="208">
        <v>3882</v>
      </c>
      <c r="K1391" s="159"/>
      <c r="L1391" s="204" t="s">
        <v>942</v>
      </c>
    </row>
    <row r="1392" spans="1:12" ht="15">
      <c r="A1392" s="159"/>
      <c r="B1392" s="143"/>
      <c r="C1392" s="205" t="s">
        <v>938</v>
      </c>
      <c r="D1392" s="162"/>
      <c r="E1392" s="163"/>
      <c r="F1392" s="159"/>
      <c r="G1392" s="164"/>
      <c r="H1392" s="204" t="s">
        <v>940</v>
      </c>
      <c r="I1392" s="211">
        <v>2024</v>
      </c>
      <c r="J1392" s="208">
        <v>3882</v>
      </c>
      <c r="K1392" s="159"/>
      <c r="L1392" s="204" t="s">
        <v>942</v>
      </c>
    </row>
    <row r="1393" spans="1:12" ht="15">
      <c r="A1393" s="159"/>
      <c r="B1393" s="143"/>
      <c r="C1393" s="205" t="s">
        <v>938</v>
      </c>
      <c r="D1393" s="162"/>
      <c r="E1393" s="163"/>
      <c r="F1393" s="159"/>
      <c r="G1393" s="164"/>
      <c r="H1393" s="204" t="s">
        <v>940</v>
      </c>
      <c r="I1393" s="211">
        <v>2024</v>
      </c>
      <c r="J1393" s="208">
        <v>3882</v>
      </c>
      <c r="K1393" s="159"/>
      <c r="L1393" s="204" t="s">
        <v>942</v>
      </c>
    </row>
    <row r="1394" spans="1:12" ht="15">
      <c r="A1394" s="159"/>
      <c r="B1394" s="143"/>
      <c r="C1394" s="205" t="s">
        <v>938</v>
      </c>
      <c r="D1394" s="162"/>
      <c r="E1394" s="163"/>
      <c r="F1394" s="159"/>
      <c r="G1394" s="164"/>
      <c r="H1394" s="204" t="s">
        <v>940</v>
      </c>
      <c r="I1394" s="211">
        <v>2024</v>
      </c>
      <c r="J1394" s="208">
        <v>3882</v>
      </c>
      <c r="K1394" s="159"/>
      <c r="L1394" s="204" t="s">
        <v>942</v>
      </c>
    </row>
    <row r="1395" spans="1:12" ht="15">
      <c r="A1395" s="159"/>
      <c r="B1395" s="143"/>
      <c r="C1395" s="205" t="s">
        <v>938</v>
      </c>
      <c r="D1395" s="162"/>
      <c r="E1395" s="163"/>
      <c r="F1395" s="159"/>
      <c r="G1395" s="164"/>
      <c r="H1395" s="204" t="s">
        <v>940</v>
      </c>
      <c r="I1395" s="211">
        <v>2024</v>
      </c>
      <c r="J1395" s="208">
        <v>3882</v>
      </c>
      <c r="K1395" s="159"/>
      <c r="L1395" s="204" t="s">
        <v>942</v>
      </c>
    </row>
    <row r="1396" spans="1:12" ht="15">
      <c r="A1396" s="159"/>
      <c r="B1396" s="143"/>
      <c r="C1396" s="205" t="s">
        <v>938</v>
      </c>
      <c r="D1396" s="162"/>
      <c r="E1396" s="163"/>
      <c r="F1396" s="159"/>
      <c r="G1396" s="164"/>
      <c r="H1396" s="204" t="s">
        <v>940</v>
      </c>
      <c r="I1396" s="211">
        <v>2024</v>
      </c>
      <c r="J1396" s="208">
        <v>4162</v>
      </c>
      <c r="K1396" s="159"/>
      <c r="L1396" s="204" t="s">
        <v>942</v>
      </c>
    </row>
    <row r="1397" spans="1:12" ht="15">
      <c r="A1397" s="159"/>
      <c r="B1397" s="143"/>
      <c r="C1397" s="205" t="s">
        <v>938</v>
      </c>
      <c r="D1397" s="162"/>
      <c r="E1397" s="163"/>
      <c r="F1397" s="159"/>
      <c r="G1397" s="164"/>
      <c r="H1397" s="204" t="s">
        <v>940</v>
      </c>
      <c r="I1397" s="211">
        <v>2024</v>
      </c>
      <c r="J1397" s="208">
        <v>3370</v>
      </c>
      <c r="K1397" s="159"/>
      <c r="L1397" s="204" t="s">
        <v>942</v>
      </c>
    </row>
    <row r="1398" spans="1:12" ht="15">
      <c r="A1398" s="159"/>
      <c r="B1398" s="143"/>
      <c r="C1398" s="205" t="s">
        <v>938</v>
      </c>
      <c r="D1398" s="162"/>
      <c r="E1398" s="163"/>
      <c r="F1398" s="159"/>
      <c r="G1398" s="164"/>
      <c r="H1398" s="204" t="s">
        <v>940</v>
      </c>
      <c r="I1398" s="211">
        <v>2024</v>
      </c>
      <c r="J1398" s="208">
        <v>4162</v>
      </c>
      <c r="K1398" s="159"/>
      <c r="L1398" s="204" t="s">
        <v>942</v>
      </c>
    </row>
    <row r="1399" spans="1:12" ht="15">
      <c r="A1399" s="159"/>
      <c r="B1399" s="143"/>
      <c r="C1399" s="205" t="s">
        <v>938</v>
      </c>
      <c r="D1399" s="162"/>
      <c r="E1399" s="163"/>
      <c r="F1399" s="159"/>
      <c r="G1399" s="164"/>
      <c r="H1399" s="204" t="s">
        <v>940</v>
      </c>
      <c r="I1399" s="211">
        <v>2024</v>
      </c>
      <c r="J1399" s="208">
        <v>3882</v>
      </c>
      <c r="K1399" s="159"/>
      <c r="L1399" s="204" t="s">
        <v>942</v>
      </c>
    </row>
    <row r="1400" spans="1:12" ht="15">
      <c r="A1400" s="159"/>
      <c r="B1400" s="143"/>
      <c r="C1400" s="205" t="s">
        <v>938</v>
      </c>
      <c r="D1400" s="162"/>
      <c r="E1400" s="163"/>
      <c r="F1400" s="159"/>
      <c r="G1400" s="164"/>
      <c r="H1400" s="204" t="s">
        <v>940</v>
      </c>
      <c r="I1400" s="211">
        <v>2024</v>
      </c>
      <c r="J1400" s="208">
        <v>4162</v>
      </c>
      <c r="K1400" s="159"/>
      <c r="L1400" s="204" t="s">
        <v>942</v>
      </c>
    </row>
    <row r="1401" spans="1:12" ht="15">
      <c r="A1401" s="159"/>
      <c r="B1401" s="143"/>
      <c r="C1401" s="205" t="s">
        <v>938</v>
      </c>
      <c r="D1401" s="162"/>
      <c r="E1401" s="163"/>
      <c r="F1401" s="159"/>
      <c r="G1401" s="164"/>
      <c r="H1401" s="204" t="s">
        <v>940</v>
      </c>
      <c r="I1401" s="211">
        <v>2024</v>
      </c>
      <c r="J1401" s="208">
        <v>4162</v>
      </c>
      <c r="K1401" s="159"/>
      <c r="L1401" s="204" t="s">
        <v>942</v>
      </c>
    </row>
    <row r="1402" spans="1:12" ht="15">
      <c r="A1402" s="159"/>
      <c r="B1402" s="143"/>
      <c r="C1402" s="205" t="s">
        <v>938</v>
      </c>
      <c r="D1402" s="162"/>
      <c r="E1402" s="163"/>
      <c r="F1402" s="159"/>
      <c r="G1402" s="164"/>
      <c r="H1402" s="204" t="s">
        <v>940</v>
      </c>
      <c r="I1402" s="211">
        <v>2024</v>
      </c>
      <c r="J1402" s="208">
        <v>4162</v>
      </c>
      <c r="K1402" s="159"/>
      <c r="L1402" s="204" t="s">
        <v>942</v>
      </c>
    </row>
    <row r="1403" spans="1:12" ht="15">
      <c r="A1403" s="159"/>
      <c r="B1403" s="143"/>
      <c r="C1403" s="205" t="s">
        <v>938</v>
      </c>
      <c r="D1403" s="162"/>
      <c r="E1403" s="163"/>
      <c r="F1403" s="159"/>
      <c r="G1403" s="164"/>
      <c r="H1403" s="204" t="s">
        <v>940</v>
      </c>
      <c r="I1403" s="211">
        <v>2024</v>
      </c>
      <c r="J1403" s="208">
        <v>5290</v>
      </c>
      <c r="K1403" s="159"/>
      <c r="L1403" s="204" t="s">
        <v>942</v>
      </c>
    </row>
    <row r="1404" spans="1:12" ht="15">
      <c r="A1404" s="159"/>
      <c r="B1404" s="143"/>
      <c r="C1404" s="205" t="s">
        <v>938</v>
      </c>
      <c r="D1404" s="162"/>
      <c r="E1404" s="163"/>
      <c r="F1404" s="159"/>
      <c r="G1404" s="164"/>
      <c r="H1404" s="204" t="s">
        <v>940</v>
      </c>
      <c r="I1404" s="211">
        <v>2024</v>
      </c>
      <c r="J1404" s="208">
        <v>3370</v>
      </c>
      <c r="K1404" s="159"/>
      <c r="L1404" s="204" t="s">
        <v>942</v>
      </c>
    </row>
    <row r="1405" spans="1:12" ht="15">
      <c r="A1405" s="159"/>
      <c r="B1405" s="143"/>
      <c r="C1405" s="205" t="s">
        <v>938</v>
      </c>
      <c r="D1405" s="162"/>
      <c r="E1405" s="163"/>
      <c r="F1405" s="159"/>
      <c r="G1405" s="164"/>
      <c r="H1405" s="204" t="s">
        <v>940</v>
      </c>
      <c r="I1405" s="211">
        <v>2024</v>
      </c>
      <c r="J1405" s="208">
        <v>3370</v>
      </c>
      <c r="K1405" s="159"/>
      <c r="L1405" s="204" t="s">
        <v>942</v>
      </c>
    </row>
    <row r="1406" spans="1:12" ht="15">
      <c r="A1406" s="159"/>
      <c r="B1406" s="143"/>
      <c r="C1406" s="205" t="s">
        <v>938</v>
      </c>
      <c r="D1406" s="162"/>
      <c r="E1406" s="163"/>
      <c r="F1406" s="159"/>
      <c r="G1406" s="164"/>
      <c r="H1406" s="204" t="s">
        <v>940</v>
      </c>
      <c r="I1406" s="211">
        <v>2024</v>
      </c>
      <c r="J1406" s="208">
        <v>3882</v>
      </c>
      <c r="K1406" s="159"/>
      <c r="L1406" s="204" t="s">
        <v>942</v>
      </c>
    </row>
    <row r="1407" spans="1:12" ht="15">
      <c r="A1407" s="159"/>
      <c r="B1407" s="143"/>
      <c r="C1407" s="205" t="s">
        <v>938</v>
      </c>
      <c r="D1407" s="162"/>
      <c r="E1407" s="163"/>
      <c r="F1407" s="159"/>
      <c r="G1407" s="164"/>
      <c r="H1407" s="204" t="s">
        <v>940</v>
      </c>
      <c r="I1407" s="211">
        <v>2024</v>
      </c>
      <c r="J1407" s="208">
        <v>3370</v>
      </c>
      <c r="K1407" s="159"/>
      <c r="L1407" s="204" t="s">
        <v>942</v>
      </c>
    </row>
    <row r="1408" spans="1:12" ht="15">
      <c r="A1408" s="159"/>
      <c r="B1408" s="143"/>
      <c r="C1408" s="205" t="s">
        <v>938</v>
      </c>
      <c r="D1408" s="162"/>
      <c r="E1408" s="163"/>
      <c r="F1408" s="159"/>
      <c r="G1408" s="164"/>
      <c r="H1408" s="204" t="s">
        <v>940</v>
      </c>
      <c r="I1408" s="211">
        <v>2024</v>
      </c>
      <c r="J1408" s="208">
        <v>4162</v>
      </c>
      <c r="K1408" s="159"/>
      <c r="L1408" s="204" t="s">
        <v>942</v>
      </c>
    </row>
    <row r="1409" spans="1:12" ht="15">
      <c r="A1409" s="159"/>
      <c r="B1409" s="143"/>
      <c r="C1409" s="205" t="s">
        <v>938</v>
      </c>
      <c r="D1409" s="162"/>
      <c r="E1409" s="163"/>
      <c r="F1409" s="159"/>
      <c r="G1409" s="164"/>
      <c r="H1409" s="204" t="s">
        <v>940</v>
      </c>
      <c r="I1409" s="211">
        <v>2024</v>
      </c>
      <c r="J1409" s="208">
        <v>3370</v>
      </c>
      <c r="K1409" s="159"/>
      <c r="L1409" s="204" t="s">
        <v>942</v>
      </c>
    </row>
    <row r="1410" spans="1:12" ht="15">
      <c r="A1410" s="159"/>
      <c r="B1410" s="143"/>
      <c r="C1410" s="205" t="s">
        <v>938</v>
      </c>
      <c r="D1410" s="162"/>
      <c r="E1410" s="163"/>
      <c r="F1410" s="159"/>
      <c r="G1410" s="164"/>
      <c r="H1410" s="204" t="s">
        <v>940</v>
      </c>
      <c r="I1410" s="211">
        <v>2024</v>
      </c>
      <c r="J1410" s="208">
        <v>3370</v>
      </c>
      <c r="K1410" s="159"/>
      <c r="L1410" s="204" t="s">
        <v>942</v>
      </c>
    </row>
    <row r="1411" spans="1:12" ht="15">
      <c r="A1411" s="159"/>
      <c r="B1411" s="143"/>
      <c r="C1411" s="205" t="s">
        <v>938</v>
      </c>
      <c r="D1411" s="162"/>
      <c r="E1411" s="163"/>
      <c r="F1411" s="159"/>
      <c r="G1411" s="164"/>
      <c r="H1411" s="204" t="s">
        <v>940</v>
      </c>
      <c r="I1411" s="211">
        <v>2024</v>
      </c>
      <c r="J1411" s="208">
        <v>3882</v>
      </c>
      <c r="K1411" s="159"/>
      <c r="L1411" s="204" t="s">
        <v>942</v>
      </c>
    </row>
    <row r="1412" spans="1:12" ht="15">
      <c r="A1412" s="159"/>
      <c r="B1412" s="143"/>
      <c r="C1412" s="205" t="s">
        <v>938</v>
      </c>
      <c r="D1412" s="162"/>
      <c r="E1412" s="163"/>
      <c r="F1412" s="159"/>
      <c r="G1412" s="164"/>
      <c r="H1412" s="204" t="s">
        <v>940</v>
      </c>
      <c r="I1412" s="211">
        <v>2024</v>
      </c>
      <c r="J1412" s="208">
        <v>3882</v>
      </c>
      <c r="K1412" s="159"/>
      <c r="L1412" s="204" t="s">
        <v>942</v>
      </c>
    </row>
    <row r="1413" spans="1:12" ht="15">
      <c r="A1413" s="159"/>
      <c r="B1413" s="143"/>
      <c r="C1413" s="205" t="s">
        <v>938</v>
      </c>
      <c r="D1413" s="162"/>
      <c r="E1413" s="163"/>
      <c r="F1413" s="159"/>
      <c r="G1413" s="164"/>
      <c r="H1413" s="204" t="s">
        <v>940</v>
      </c>
      <c r="I1413" s="211">
        <v>2024</v>
      </c>
      <c r="J1413" s="208">
        <v>3882</v>
      </c>
      <c r="K1413" s="159"/>
      <c r="L1413" s="204" t="s">
        <v>942</v>
      </c>
    </row>
    <row r="1414" spans="1:12" ht="15">
      <c r="A1414" s="159"/>
      <c r="B1414" s="143"/>
      <c r="C1414" s="205" t="s">
        <v>938</v>
      </c>
      <c r="D1414" s="162"/>
      <c r="E1414" s="163"/>
      <c r="F1414" s="159"/>
      <c r="G1414" s="164"/>
      <c r="H1414" s="204" t="s">
        <v>940</v>
      </c>
      <c r="I1414" s="211">
        <v>2024</v>
      </c>
      <c r="J1414" s="208">
        <v>3370</v>
      </c>
      <c r="K1414" s="159"/>
      <c r="L1414" s="204" t="s">
        <v>942</v>
      </c>
    </row>
    <row r="1415" spans="1:12" ht="15">
      <c r="A1415" s="159"/>
      <c r="B1415" s="143"/>
      <c r="C1415" s="205" t="s">
        <v>938</v>
      </c>
      <c r="D1415" s="162"/>
      <c r="E1415" s="163"/>
      <c r="F1415" s="159"/>
      <c r="G1415" s="164"/>
      <c r="H1415" s="204" t="s">
        <v>940</v>
      </c>
      <c r="I1415" s="211">
        <v>2024</v>
      </c>
      <c r="J1415" s="208">
        <v>4779</v>
      </c>
      <c r="K1415" s="159"/>
      <c r="L1415" s="204" t="s">
        <v>942</v>
      </c>
    </row>
    <row r="1416" spans="1:12" ht="15">
      <c r="A1416" s="159"/>
      <c r="B1416" s="143"/>
      <c r="C1416" s="205" t="s">
        <v>938</v>
      </c>
      <c r="D1416" s="162"/>
      <c r="E1416" s="163"/>
      <c r="F1416" s="159"/>
      <c r="G1416" s="164"/>
      <c r="H1416" s="204" t="s">
        <v>940</v>
      </c>
      <c r="I1416" s="211">
        <v>2024</v>
      </c>
      <c r="J1416" s="208">
        <v>3882</v>
      </c>
      <c r="K1416" s="159"/>
      <c r="L1416" s="204" t="s">
        <v>942</v>
      </c>
    </row>
    <row r="1417" spans="1:12" ht="15">
      <c r="A1417" s="159"/>
      <c r="B1417" s="143"/>
      <c r="C1417" s="205" t="s">
        <v>938</v>
      </c>
      <c r="D1417" s="162"/>
      <c r="E1417" s="163"/>
      <c r="F1417" s="159"/>
      <c r="G1417" s="164"/>
      <c r="H1417" s="204" t="s">
        <v>940</v>
      </c>
      <c r="I1417" s="211">
        <v>2024</v>
      </c>
      <c r="J1417" s="208">
        <v>3882</v>
      </c>
      <c r="K1417" s="159"/>
      <c r="L1417" s="204" t="s">
        <v>942</v>
      </c>
    </row>
    <row r="1418" spans="1:12" ht="15">
      <c r="A1418" s="159"/>
      <c r="B1418" s="143"/>
      <c r="C1418" s="205" t="s">
        <v>938</v>
      </c>
      <c r="D1418" s="162"/>
      <c r="E1418" s="163"/>
      <c r="F1418" s="159"/>
      <c r="G1418" s="164"/>
      <c r="H1418" s="204" t="s">
        <v>940</v>
      </c>
      <c r="I1418" s="211">
        <v>2024</v>
      </c>
      <c r="J1418" s="208">
        <v>3370</v>
      </c>
      <c r="K1418" s="159"/>
      <c r="L1418" s="204" t="s">
        <v>942</v>
      </c>
    </row>
    <row r="1419" spans="1:12" ht="15">
      <c r="A1419" s="159"/>
      <c r="B1419" s="143"/>
      <c r="C1419" s="205" t="s">
        <v>938</v>
      </c>
      <c r="D1419" s="162"/>
      <c r="E1419" s="163"/>
      <c r="F1419" s="159"/>
      <c r="G1419" s="164"/>
      <c r="H1419" s="204" t="s">
        <v>940</v>
      </c>
      <c r="I1419" s="211">
        <v>2024</v>
      </c>
      <c r="J1419" s="208">
        <v>3370</v>
      </c>
      <c r="K1419" s="159"/>
      <c r="L1419" s="204" t="s">
        <v>942</v>
      </c>
    </row>
    <row r="1420" spans="1:12" ht="15">
      <c r="A1420" s="159"/>
      <c r="B1420" s="143"/>
      <c r="C1420" s="205" t="s">
        <v>938</v>
      </c>
      <c r="D1420" s="162"/>
      <c r="E1420" s="163"/>
      <c r="F1420" s="159"/>
      <c r="G1420" s="164"/>
      <c r="H1420" s="204" t="s">
        <v>940</v>
      </c>
      <c r="I1420" s="211">
        <v>2024</v>
      </c>
      <c r="J1420" s="208">
        <v>2854</v>
      </c>
      <c r="K1420" s="159"/>
      <c r="L1420" s="204" t="s">
        <v>942</v>
      </c>
    </row>
    <row r="1421" spans="1:12" ht="15">
      <c r="A1421" s="159"/>
      <c r="B1421" s="143"/>
      <c r="C1421" s="205" t="s">
        <v>938</v>
      </c>
      <c r="D1421" s="162"/>
      <c r="E1421" s="163"/>
      <c r="F1421" s="159"/>
      <c r="G1421" s="164"/>
      <c r="H1421" s="204" t="s">
        <v>940</v>
      </c>
      <c r="I1421" s="211">
        <v>2024</v>
      </c>
      <c r="J1421" s="208">
        <v>3882</v>
      </c>
      <c r="K1421" s="159"/>
      <c r="L1421" s="204" t="s">
        <v>942</v>
      </c>
    </row>
    <row r="1422" spans="1:12" ht="15">
      <c r="A1422" s="159"/>
      <c r="B1422" s="143"/>
      <c r="C1422" s="205" t="s">
        <v>938</v>
      </c>
      <c r="D1422" s="162"/>
      <c r="E1422" s="163"/>
      <c r="F1422" s="159"/>
      <c r="G1422" s="164"/>
      <c r="H1422" s="204" t="s">
        <v>940</v>
      </c>
      <c r="I1422" s="211">
        <v>2024</v>
      </c>
      <c r="J1422" s="208">
        <v>3370</v>
      </c>
      <c r="K1422" s="159"/>
      <c r="L1422" s="204" t="s">
        <v>942</v>
      </c>
    </row>
    <row r="1423" spans="1:12" ht="15">
      <c r="A1423" s="159"/>
      <c r="B1423" s="143"/>
      <c r="C1423" s="205" t="s">
        <v>938</v>
      </c>
      <c r="D1423" s="162"/>
      <c r="E1423" s="163"/>
      <c r="F1423" s="159"/>
      <c r="G1423" s="164"/>
      <c r="H1423" s="204" t="s">
        <v>940</v>
      </c>
      <c r="I1423" s="211">
        <v>2024</v>
      </c>
      <c r="J1423" s="208">
        <v>3882</v>
      </c>
      <c r="K1423" s="159"/>
      <c r="L1423" s="204" t="s">
        <v>942</v>
      </c>
    </row>
    <row r="1424" spans="1:12" ht="15">
      <c r="A1424" s="159"/>
      <c r="B1424" s="143"/>
      <c r="C1424" s="205" t="s">
        <v>938</v>
      </c>
      <c r="D1424" s="162"/>
      <c r="E1424" s="163"/>
      <c r="F1424" s="159"/>
      <c r="G1424" s="164"/>
      <c r="H1424" s="204" t="s">
        <v>940</v>
      </c>
      <c r="I1424" s="211">
        <v>2024</v>
      </c>
      <c r="J1424" s="208">
        <v>3882</v>
      </c>
      <c r="K1424" s="159"/>
      <c r="L1424" s="204" t="s">
        <v>942</v>
      </c>
    </row>
    <row r="1425" spans="1:12" ht="15">
      <c r="A1425" s="159"/>
      <c r="B1425" s="143"/>
      <c r="C1425" s="205" t="s">
        <v>938</v>
      </c>
      <c r="D1425" s="162"/>
      <c r="E1425" s="163"/>
      <c r="F1425" s="159"/>
      <c r="G1425" s="164"/>
      <c r="H1425" s="204" t="s">
        <v>940</v>
      </c>
      <c r="I1425" s="211">
        <v>2024</v>
      </c>
      <c r="J1425" s="208">
        <v>3370</v>
      </c>
      <c r="K1425" s="159"/>
      <c r="L1425" s="204" t="s">
        <v>942</v>
      </c>
    </row>
    <row r="1426" spans="1:12" ht="15">
      <c r="A1426" s="159"/>
      <c r="B1426" s="143"/>
      <c r="C1426" s="205" t="s">
        <v>938</v>
      </c>
      <c r="D1426" s="162"/>
      <c r="E1426" s="163"/>
      <c r="F1426" s="159"/>
      <c r="G1426" s="164"/>
      <c r="H1426" s="204" t="s">
        <v>940</v>
      </c>
      <c r="I1426" s="211">
        <v>2024</v>
      </c>
      <c r="J1426" s="208">
        <v>3370</v>
      </c>
      <c r="K1426" s="159"/>
      <c r="L1426" s="204" t="s">
        <v>942</v>
      </c>
    </row>
    <row r="1427" spans="1:12" ht="15">
      <c r="A1427" s="159"/>
      <c r="B1427" s="143"/>
      <c r="C1427" s="205" t="s">
        <v>938</v>
      </c>
      <c r="D1427" s="162"/>
      <c r="E1427" s="163"/>
      <c r="F1427" s="159"/>
      <c r="G1427" s="164"/>
      <c r="H1427" s="204" t="s">
        <v>940</v>
      </c>
      <c r="I1427" s="211">
        <v>2024</v>
      </c>
      <c r="J1427" s="208">
        <v>3370</v>
      </c>
      <c r="K1427" s="159"/>
      <c r="L1427" s="204" t="s">
        <v>942</v>
      </c>
    </row>
    <row r="1428" spans="1:12" ht="15">
      <c r="A1428" s="159"/>
      <c r="B1428" s="143"/>
      <c r="C1428" s="205" t="s">
        <v>938</v>
      </c>
      <c r="D1428" s="162"/>
      <c r="E1428" s="163"/>
      <c r="F1428" s="159"/>
      <c r="G1428" s="164"/>
      <c r="H1428" s="204" t="s">
        <v>940</v>
      </c>
      <c r="I1428" s="211">
        <v>2024</v>
      </c>
      <c r="J1428" s="208">
        <v>4162</v>
      </c>
      <c r="K1428" s="159"/>
      <c r="L1428" s="204" t="s">
        <v>942</v>
      </c>
    </row>
    <row r="1429" spans="1:12" ht="15">
      <c r="A1429" s="159"/>
      <c r="B1429" s="143"/>
      <c r="C1429" s="205" t="s">
        <v>938</v>
      </c>
      <c r="D1429" s="162"/>
      <c r="E1429" s="163"/>
      <c r="F1429" s="159"/>
      <c r="G1429" s="164"/>
      <c r="H1429" s="204" t="s">
        <v>940</v>
      </c>
      <c r="I1429" s="211">
        <v>2024</v>
      </c>
      <c r="J1429" s="208">
        <v>4779</v>
      </c>
      <c r="K1429" s="159"/>
      <c r="L1429" s="204" t="s">
        <v>942</v>
      </c>
    </row>
    <row r="1430" spans="1:12" ht="15">
      <c r="A1430" s="159"/>
      <c r="B1430" s="143"/>
      <c r="C1430" s="205" t="s">
        <v>938</v>
      </c>
      <c r="D1430" s="162"/>
      <c r="E1430" s="163"/>
      <c r="F1430" s="159"/>
      <c r="G1430" s="164"/>
      <c r="H1430" s="204" t="s">
        <v>940</v>
      </c>
      <c r="I1430" s="211">
        <v>2024</v>
      </c>
      <c r="J1430" s="208">
        <v>3370</v>
      </c>
      <c r="K1430" s="159"/>
      <c r="L1430" s="204" t="s">
        <v>942</v>
      </c>
    </row>
    <row r="1431" spans="1:12" ht="15">
      <c r="A1431" s="159"/>
      <c r="B1431" s="143"/>
      <c r="C1431" s="205" t="s">
        <v>938</v>
      </c>
      <c r="D1431" s="162"/>
      <c r="E1431" s="163"/>
      <c r="F1431" s="159"/>
      <c r="G1431" s="164"/>
      <c r="H1431" s="204" t="s">
        <v>940</v>
      </c>
      <c r="I1431" s="211">
        <v>2024</v>
      </c>
      <c r="J1431" s="208">
        <v>3882</v>
      </c>
      <c r="K1431" s="159"/>
      <c r="L1431" s="204" t="s">
        <v>942</v>
      </c>
    </row>
    <row r="1432" spans="1:12" ht="15">
      <c r="A1432" s="159"/>
      <c r="B1432" s="143"/>
      <c r="C1432" s="205" t="s">
        <v>938</v>
      </c>
      <c r="D1432" s="162"/>
      <c r="E1432" s="163"/>
      <c r="F1432" s="159"/>
      <c r="G1432" s="164"/>
      <c r="H1432" s="204" t="s">
        <v>940</v>
      </c>
      <c r="I1432" s="211">
        <v>2024</v>
      </c>
      <c r="J1432" s="208">
        <v>3370</v>
      </c>
      <c r="K1432" s="159"/>
      <c r="L1432" s="204" t="s">
        <v>942</v>
      </c>
    </row>
    <row r="1433" spans="1:12" ht="15">
      <c r="A1433" s="159"/>
      <c r="B1433" s="143"/>
      <c r="C1433" s="205" t="s">
        <v>938</v>
      </c>
      <c r="D1433" s="162"/>
      <c r="E1433" s="163"/>
      <c r="F1433" s="159"/>
      <c r="G1433" s="164"/>
      <c r="H1433" s="204" t="s">
        <v>940</v>
      </c>
      <c r="I1433" s="211">
        <v>2024</v>
      </c>
      <c r="J1433" s="208">
        <v>3370</v>
      </c>
      <c r="K1433" s="159"/>
      <c r="L1433" s="204" t="s">
        <v>942</v>
      </c>
    </row>
    <row r="1434" spans="1:12" ht="15">
      <c r="A1434" s="159"/>
      <c r="B1434" s="143"/>
      <c r="C1434" s="205" t="s">
        <v>938</v>
      </c>
      <c r="D1434" s="162"/>
      <c r="E1434" s="163"/>
      <c r="F1434" s="159"/>
      <c r="G1434" s="164"/>
      <c r="H1434" s="204" t="s">
        <v>940</v>
      </c>
      <c r="I1434" s="211">
        <v>2024</v>
      </c>
      <c r="J1434" s="208">
        <v>3370</v>
      </c>
      <c r="K1434" s="159"/>
      <c r="L1434" s="204" t="s">
        <v>942</v>
      </c>
    </row>
    <row r="1435" spans="1:12" ht="15">
      <c r="A1435" s="159"/>
      <c r="B1435" s="143"/>
      <c r="C1435" s="205" t="s">
        <v>938</v>
      </c>
      <c r="D1435" s="162"/>
      <c r="E1435" s="163"/>
      <c r="F1435" s="159"/>
      <c r="G1435" s="164"/>
      <c r="H1435" s="204" t="s">
        <v>940</v>
      </c>
      <c r="I1435" s="211">
        <v>2024</v>
      </c>
      <c r="J1435" s="208">
        <v>3882</v>
      </c>
      <c r="K1435" s="159"/>
      <c r="L1435" s="204" t="s">
        <v>942</v>
      </c>
    </row>
    <row r="1436" spans="1:12" ht="15">
      <c r="A1436" s="159"/>
      <c r="B1436" s="143"/>
      <c r="C1436" s="205" t="s">
        <v>938</v>
      </c>
      <c r="D1436" s="162"/>
      <c r="E1436" s="163"/>
      <c r="F1436" s="159"/>
      <c r="G1436" s="164"/>
      <c r="H1436" s="204" t="s">
        <v>940</v>
      </c>
      <c r="I1436" s="211">
        <v>2024</v>
      </c>
      <c r="J1436" s="208">
        <v>3370</v>
      </c>
      <c r="K1436" s="159"/>
      <c r="L1436" s="204" t="s">
        <v>942</v>
      </c>
    </row>
    <row r="1437" spans="1:12" ht="15">
      <c r="A1437" s="159"/>
      <c r="B1437" s="143"/>
      <c r="C1437" s="205" t="s">
        <v>938</v>
      </c>
      <c r="D1437" s="162"/>
      <c r="E1437" s="163"/>
      <c r="F1437" s="159"/>
      <c r="G1437" s="164"/>
      <c r="H1437" s="204" t="s">
        <v>940</v>
      </c>
      <c r="I1437" s="211">
        <v>2024</v>
      </c>
      <c r="J1437" s="208">
        <v>4162</v>
      </c>
      <c r="K1437" s="159"/>
      <c r="L1437" s="204" t="s">
        <v>942</v>
      </c>
    </row>
    <row r="1438" spans="1:12" ht="15">
      <c r="A1438" s="159"/>
      <c r="B1438" s="143"/>
      <c r="C1438" s="205" t="s">
        <v>938</v>
      </c>
      <c r="D1438" s="162"/>
      <c r="E1438" s="163"/>
      <c r="F1438" s="159"/>
      <c r="G1438" s="164"/>
      <c r="H1438" s="204" t="s">
        <v>940</v>
      </c>
      <c r="I1438" s="211">
        <v>2024</v>
      </c>
      <c r="J1438" s="208">
        <v>3370</v>
      </c>
      <c r="K1438" s="159"/>
      <c r="L1438" s="204" t="s">
        <v>942</v>
      </c>
    </row>
    <row r="1439" spans="1:12" ht="15">
      <c r="A1439" s="159"/>
      <c r="B1439" s="143"/>
      <c r="C1439" s="205" t="s">
        <v>938</v>
      </c>
      <c r="D1439" s="162"/>
      <c r="E1439" s="163"/>
      <c r="F1439" s="159"/>
      <c r="G1439" s="164"/>
      <c r="H1439" s="204" t="s">
        <v>940</v>
      </c>
      <c r="I1439" s="211">
        <v>2024</v>
      </c>
      <c r="J1439" s="208">
        <v>4162</v>
      </c>
      <c r="K1439" s="159"/>
      <c r="L1439" s="204" t="s">
        <v>942</v>
      </c>
    </row>
    <row r="1440" spans="1:12" ht="15">
      <c r="A1440" s="159"/>
      <c r="B1440" s="143"/>
      <c r="C1440" s="205" t="s">
        <v>938</v>
      </c>
      <c r="D1440" s="162"/>
      <c r="E1440" s="163"/>
      <c r="F1440" s="159"/>
      <c r="G1440" s="164"/>
      <c r="H1440" s="204" t="s">
        <v>940</v>
      </c>
      <c r="I1440" s="211">
        <v>2024</v>
      </c>
      <c r="J1440" s="208">
        <v>4162</v>
      </c>
      <c r="K1440" s="159"/>
      <c r="L1440" s="204" t="s">
        <v>942</v>
      </c>
    </row>
    <row r="1441" spans="1:12" ht="15">
      <c r="A1441" s="159"/>
      <c r="B1441" s="143"/>
      <c r="C1441" s="205" t="s">
        <v>938</v>
      </c>
      <c r="D1441" s="162"/>
      <c r="E1441" s="163"/>
      <c r="F1441" s="159"/>
      <c r="G1441" s="164"/>
      <c r="H1441" s="204" t="s">
        <v>940</v>
      </c>
      <c r="I1441" s="211">
        <v>2024</v>
      </c>
      <c r="J1441" s="208">
        <v>3882</v>
      </c>
      <c r="K1441" s="159"/>
      <c r="L1441" s="204" t="s">
        <v>942</v>
      </c>
    </row>
    <row r="1442" spans="1:12" ht="15">
      <c r="A1442" s="159"/>
      <c r="B1442" s="143"/>
      <c r="C1442" s="205" t="s">
        <v>938</v>
      </c>
      <c r="D1442" s="162"/>
      <c r="E1442" s="163"/>
      <c r="F1442" s="159"/>
      <c r="G1442" s="164"/>
      <c r="H1442" s="204" t="s">
        <v>940</v>
      </c>
      <c r="I1442" s="211">
        <v>2024</v>
      </c>
      <c r="J1442" s="208">
        <v>3882</v>
      </c>
      <c r="K1442" s="159"/>
      <c r="L1442" s="204" t="s">
        <v>942</v>
      </c>
    </row>
    <row r="1443" spans="1:12" ht="15">
      <c r="A1443" s="159"/>
      <c r="B1443" s="143"/>
      <c r="C1443" s="205" t="s">
        <v>938</v>
      </c>
      <c r="D1443" s="162"/>
      <c r="E1443" s="163"/>
      <c r="F1443" s="159"/>
      <c r="G1443" s="164"/>
      <c r="H1443" s="204" t="s">
        <v>940</v>
      </c>
      <c r="I1443" s="211">
        <v>2024</v>
      </c>
      <c r="J1443" s="208">
        <v>3882</v>
      </c>
      <c r="K1443" s="159"/>
      <c r="L1443" s="204" t="s">
        <v>942</v>
      </c>
    </row>
    <row r="1444" spans="1:12" ht="15">
      <c r="A1444" s="159"/>
      <c r="B1444" s="143"/>
      <c r="C1444" s="205" t="s">
        <v>938</v>
      </c>
      <c r="D1444" s="162"/>
      <c r="E1444" s="163"/>
      <c r="F1444" s="159"/>
      <c r="G1444" s="164"/>
      <c r="H1444" s="204" t="s">
        <v>940</v>
      </c>
      <c r="I1444" s="211">
        <v>2024</v>
      </c>
      <c r="J1444" s="208">
        <v>3882</v>
      </c>
      <c r="K1444" s="159"/>
      <c r="L1444" s="204" t="s">
        <v>942</v>
      </c>
    </row>
    <row r="1445" spans="1:12" ht="15">
      <c r="A1445" s="159"/>
      <c r="B1445" s="143"/>
      <c r="C1445" s="205" t="s">
        <v>938</v>
      </c>
      <c r="D1445" s="162"/>
      <c r="E1445" s="163"/>
      <c r="F1445" s="159"/>
      <c r="G1445" s="164"/>
      <c r="H1445" s="204" t="s">
        <v>940</v>
      </c>
      <c r="I1445" s="211">
        <v>2024</v>
      </c>
      <c r="J1445" s="208">
        <v>3370</v>
      </c>
      <c r="K1445" s="159"/>
      <c r="L1445" s="204" t="s">
        <v>942</v>
      </c>
    </row>
    <row r="1446" spans="1:12" ht="15">
      <c r="A1446" s="159"/>
      <c r="B1446" s="143"/>
      <c r="C1446" s="205" t="s">
        <v>938</v>
      </c>
      <c r="D1446" s="162"/>
      <c r="E1446" s="163"/>
      <c r="F1446" s="159"/>
      <c r="G1446" s="164"/>
      <c r="H1446" s="204" t="s">
        <v>940</v>
      </c>
      <c r="I1446" s="211">
        <v>2024</v>
      </c>
      <c r="J1446" s="208">
        <v>4162</v>
      </c>
      <c r="K1446" s="159"/>
      <c r="L1446" s="204" t="s">
        <v>942</v>
      </c>
    </row>
    <row r="1447" spans="1:12" ht="15">
      <c r="A1447" s="159"/>
      <c r="B1447" s="143"/>
      <c r="C1447" s="205" t="s">
        <v>938</v>
      </c>
      <c r="D1447" s="162"/>
      <c r="E1447" s="163"/>
      <c r="F1447" s="159"/>
      <c r="G1447" s="164"/>
      <c r="H1447" s="204" t="s">
        <v>940</v>
      </c>
      <c r="I1447" s="211">
        <v>2024</v>
      </c>
      <c r="J1447" s="208">
        <v>3882</v>
      </c>
      <c r="K1447" s="159"/>
      <c r="L1447" s="204" t="s">
        <v>942</v>
      </c>
    </row>
    <row r="1448" spans="1:12" ht="15">
      <c r="A1448" s="159"/>
      <c r="B1448" s="143"/>
      <c r="C1448" s="205" t="s">
        <v>938</v>
      </c>
      <c r="D1448" s="162"/>
      <c r="E1448" s="163"/>
      <c r="F1448" s="159"/>
      <c r="G1448" s="164"/>
      <c r="H1448" s="204" t="s">
        <v>940</v>
      </c>
      <c r="I1448" s="211">
        <v>2024</v>
      </c>
      <c r="J1448" s="208">
        <v>4162</v>
      </c>
      <c r="K1448" s="159"/>
      <c r="L1448" s="204" t="s">
        <v>942</v>
      </c>
    </row>
    <row r="1449" spans="1:12" ht="15">
      <c r="A1449" s="159"/>
      <c r="B1449" s="143"/>
      <c r="C1449" s="205" t="s">
        <v>938</v>
      </c>
      <c r="D1449" s="162"/>
      <c r="E1449" s="163"/>
      <c r="F1449" s="159"/>
      <c r="G1449" s="164"/>
      <c r="H1449" s="204" t="s">
        <v>940</v>
      </c>
      <c r="I1449" s="211">
        <v>2024</v>
      </c>
      <c r="J1449" s="208">
        <v>3882</v>
      </c>
      <c r="K1449" s="159"/>
      <c r="L1449" s="204" t="s">
        <v>942</v>
      </c>
    </row>
    <row r="1450" spans="1:12" ht="15">
      <c r="A1450" s="159"/>
      <c r="B1450" s="143"/>
      <c r="C1450" s="205" t="s">
        <v>938</v>
      </c>
      <c r="D1450" s="162"/>
      <c r="E1450" s="163"/>
      <c r="F1450" s="159"/>
      <c r="G1450" s="164"/>
      <c r="H1450" s="204" t="s">
        <v>940</v>
      </c>
      <c r="I1450" s="211">
        <v>2024</v>
      </c>
      <c r="J1450" s="208">
        <v>3370</v>
      </c>
      <c r="K1450" s="159"/>
      <c r="L1450" s="204" t="s">
        <v>942</v>
      </c>
    </row>
    <row r="1451" spans="1:12" ht="15">
      <c r="A1451" s="159"/>
      <c r="B1451" s="143"/>
      <c r="C1451" s="205" t="s">
        <v>938</v>
      </c>
      <c r="D1451" s="162"/>
      <c r="E1451" s="163"/>
      <c r="F1451" s="159"/>
      <c r="G1451" s="164"/>
      <c r="H1451" s="204" t="s">
        <v>940</v>
      </c>
      <c r="I1451" s="211">
        <v>2024</v>
      </c>
      <c r="J1451" s="208">
        <v>3882</v>
      </c>
      <c r="K1451" s="159"/>
      <c r="L1451" s="204" t="s">
        <v>942</v>
      </c>
    </row>
    <row r="1452" spans="1:12" ht="15">
      <c r="A1452" s="159"/>
      <c r="B1452" s="143"/>
      <c r="C1452" s="205" t="s">
        <v>938</v>
      </c>
      <c r="D1452" s="162"/>
      <c r="E1452" s="163"/>
      <c r="F1452" s="159"/>
      <c r="G1452" s="164"/>
      <c r="H1452" s="204" t="s">
        <v>940</v>
      </c>
      <c r="I1452" s="211">
        <v>2024</v>
      </c>
      <c r="J1452" s="208">
        <v>3370</v>
      </c>
      <c r="K1452" s="159"/>
      <c r="L1452" s="204" t="s">
        <v>942</v>
      </c>
    </row>
    <row r="1453" spans="1:12" ht="15">
      <c r="A1453" s="159"/>
      <c r="B1453" s="143"/>
      <c r="C1453" s="205" t="s">
        <v>938</v>
      </c>
      <c r="D1453" s="162"/>
      <c r="E1453" s="163"/>
      <c r="F1453" s="159"/>
      <c r="G1453" s="164"/>
      <c r="H1453" s="204" t="s">
        <v>940</v>
      </c>
      <c r="I1453" s="211">
        <v>2024</v>
      </c>
      <c r="J1453" s="208">
        <v>3882</v>
      </c>
      <c r="K1453" s="159"/>
      <c r="L1453" s="204" t="s">
        <v>942</v>
      </c>
    </row>
    <row r="1454" spans="1:12" ht="15">
      <c r="A1454" s="159"/>
      <c r="B1454" s="143"/>
      <c r="C1454" s="205" t="s">
        <v>938</v>
      </c>
      <c r="D1454" s="162"/>
      <c r="E1454" s="163"/>
      <c r="F1454" s="159"/>
      <c r="G1454" s="164"/>
      <c r="H1454" s="204" t="s">
        <v>940</v>
      </c>
      <c r="I1454" s="211">
        <v>2024</v>
      </c>
      <c r="J1454" s="208">
        <v>4162</v>
      </c>
      <c r="K1454" s="159"/>
      <c r="L1454" s="204" t="s">
        <v>942</v>
      </c>
    </row>
    <row r="1455" spans="1:12" ht="15">
      <c r="A1455" s="159"/>
      <c r="B1455" s="143"/>
      <c r="C1455" s="205" t="s">
        <v>938</v>
      </c>
      <c r="D1455" s="162"/>
      <c r="E1455" s="163"/>
      <c r="F1455" s="159"/>
      <c r="G1455" s="164"/>
      <c r="H1455" s="204" t="s">
        <v>940</v>
      </c>
      <c r="I1455" s="211">
        <v>2024</v>
      </c>
      <c r="J1455" s="208">
        <v>4162</v>
      </c>
      <c r="K1455" s="159"/>
      <c r="L1455" s="204" t="s">
        <v>942</v>
      </c>
    </row>
    <row r="1456" spans="1:12" ht="15">
      <c r="A1456" s="159"/>
      <c r="B1456" s="143"/>
      <c r="C1456" s="205" t="s">
        <v>938</v>
      </c>
      <c r="D1456" s="162"/>
      <c r="E1456" s="163"/>
      <c r="F1456" s="159"/>
      <c r="G1456" s="164"/>
      <c r="H1456" s="204" t="s">
        <v>940</v>
      </c>
      <c r="I1456" s="211">
        <v>2024</v>
      </c>
      <c r="J1456" s="208">
        <v>2854</v>
      </c>
      <c r="K1456" s="159"/>
      <c r="L1456" s="204" t="s">
        <v>942</v>
      </c>
    </row>
    <row r="1457" spans="1:12" ht="15">
      <c r="A1457" s="159"/>
      <c r="B1457" s="143"/>
      <c r="C1457" s="205" t="s">
        <v>938</v>
      </c>
      <c r="D1457" s="162"/>
      <c r="E1457" s="163"/>
      <c r="F1457" s="159"/>
      <c r="G1457" s="164"/>
      <c r="H1457" s="204" t="s">
        <v>940</v>
      </c>
      <c r="I1457" s="211">
        <v>2024</v>
      </c>
      <c r="J1457" s="208">
        <v>3882</v>
      </c>
      <c r="K1457" s="159"/>
      <c r="L1457" s="204" t="s">
        <v>942</v>
      </c>
    </row>
    <row r="1458" spans="1:12" ht="15">
      <c r="A1458" s="159"/>
      <c r="B1458" s="143"/>
      <c r="C1458" s="205" t="s">
        <v>938</v>
      </c>
      <c r="D1458" s="162"/>
      <c r="E1458" s="163"/>
      <c r="F1458" s="159"/>
      <c r="G1458" s="164"/>
      <c r="H1458" s="204" t="s">
        <v>940</v>
      </c>
      <c r="I1458" s="211">
        <v>2024</v>
      </c>
      <c r="J1458" s="208">
        <v>4779</v>
      </c>
      <c r="K1458" s="159"/>
      <c r="L1458" s="204" t="s">
        <v>942</v>
      </c>
    </row>
    <row r="1459" spans="1:12" ht="15">
      <c r="A1459" s="159"/>
      <c r="B1459" s="143"/>
      <c r="C1459" s="205" t="s">
        <v>938</v>
      </c>
      <c r="D1459" s="162"/>
      <c r="E1459" s="163"/>
      <c r="F1459" s="159"/>
      <c r="G1459" s="164"/>
      <c r="H1459" s="204" t="s">
        <v>940</v>
      </c>
      <c r="I1459" s="211">
        <v>2024</v>
      </c>
      <c r="J1459" s="208">
        <v>4162</v>
      </c>
      <c r="K1459" s="159"/>
      <c r="L1459" s="204" t="s">
        <v>942</v>
      </c>
    </row>
    <row r="1460" spans="1:12" ht="15">
      <c r="A1460" s="159"/>
      <c r="B1460" s="143"/>
      <c r="C1460" s="205" t="s">
        <v>938</v>
      </c>
      <c r="D1460" s="162"/>
      <c r="E1460" s="163"/>
      <c r="F1460" s="159"/>
      <c r="G1460" s="164"/>
      <c r="H1460" s="204" t="s">
        <v>940</v>
      </c>
      <c r="I1460" s="211">
        <v>2024</v>
      </c>
      <c r="J1460" s="208">
        <v>3882</v>
      </c>
      <c r="K1460" s="159"/>
      <c r="L1460" s="204" t="s">
        <v>942</v>
      </c>
    </row>
    <row r="1461" spans="1:12" ht="15">
      <c r="A1461" s="159"/>
      <c r="B1461" s="143"/>
      <c r="C1461" s="205" t="s">
        <v>938</v>
      </c>
      <c r="D1461" s="162"/>
      <c r="E1461" s="163"/>
      <c r="F1461" s="159"/>
      <c r="G1461" s="164"/>
      <c r="H1461" s="204" t="s">
        <v>940</v>
      </c>
      <c r="I1461" s="211">
        <v>2024</v>
      </c>
      <c r="J1461" s="208">
        <v>3370</v>
      </c>
      <c r="K1461" s="159"/>
      <c r="L1461" s="204" t="s">
        <v>942</v>
      </c>
    </row>
    <row r="1462" spans="1:12" ht="15">
      <c r="A1462" s="159"/>
      <c r="B1462" s="143"/>
      <c r="C1462" s="205" t="s">
        <v>938</v>
      </c>
      <c r="D1462" s="162"/>
      <c r="E1462" s="163"/>
      <c r="F1462" s="159"/>
      <c r="G1462" s="164"/>
      <c r="H1462" s="204" t="s">
        <v>940</v>
      </c>
      <c r="I1462" s="211">
        <v>2024</v>
      </c>
      <c r="J1462" s="208">
        <v>2854</v>
      </c>
      <c r="K1462" s="159"/>
      <c r="L1462" s="204" t="s">
        <v>942</v>
      </c>
    </row>
    <row r="1463" spans="1:12" ht="15">
      <c r="A1463" s="159"/>
      <c r="B1463" s="143"/>
      <c r="C1463" s="205" t="s">
        <v>938</v>
      </c>
      <c r="D1463" s="162"/>
      <c r="E1463" s="163"/>
      <c r="F1463" s="159"/>
      <c r="G1463" s="164"/>
      <c r="H1463" s="204" t="s">
        <v>940</v>
      </c>
      <c r="I1463" s="211">
        <v>2024</v>
      </c>
      <c r="J1463" s="208">
        <v>3882</v>
      </c>
      <c r="K1463" s="159"/>
      <c r="L1463" s="204" t="s">
        <v>942</v>
      </c>
    </row>
    <row r="1464" spans="1:12" ht="15">
      <c r="A1464" s="159"/>
      <c r="B1464" s="143"/>
      <c r="C1464" s="205" t="s">
        <v>938</v>
      </c>
      <c r="D1464" s="162"/>
      <c r="E1464" s="163"/>
      <c r="F1464" s="159"/>
      <c r="G1464" s="164"/>
      <c r="H1464" s="204" t="s">
        <v>940</v>
      </c>
      <c r="I1464" s="211">
        <v>2024</v>
      </c>
      <c r="J1464" s="208">
        <v>3370</v>
      </c>
      <c r="K1464" s="159"/>
      <c r="L1464" s="204" t="s">
        <v>942</v>
      </c>
    </row>
    <row r="1465" spans="1:12" ht="15">
      <c r="A1465" s="159"/>
      <c r="B1465" s="143"/>
      <c r="C1465" s="205" t="s">
        <v>938</v>
      </c>
      <c r="D1465" s="162"/>
      <c r="E1465" s="163"/>
      <c r="F1465" s="159"/>
      <c r="G1465" s="164"/>
      <c r="H1465" s="204" t="s">
        <v>940</v>
      </c>
      <c r="I1465" s="211">
        <v>2024</v>
      </c>
      <c r="J1465" s="208">
        <v>3882</v>
      </c>
      <c r="K1465" s="159"/>
      <c r="L1465" s="204" t="s">
        <v>942</v>
      </c>
    </row>
    <row r="1466" spans="1:12" ht="15">
      <c r="A1466" s="159"/>
      <c r="B1466" s="143"/>
      <c r="C1466" s="205" t="s">
        <v>938</v>
      </c>
      <c r="D1466" s="162"/>
      <c r="E1466" s="163"/>
      <c r="F1466" s="159"/>
      <c r="G1466" s="164"/>
      <c r="H1466" s="204" t="s">
        <v>940</v>
      </c>
      <c r="I1466" s="211">
        <v>2024</v>
      </c>
      <c r="J1466" s="208">
        <v>3370</v>
      </c>
      <c r="K1466" s="159"/>
      <c r="L1466" s="204" t="s">
        <v>942</v>
      </c>
    </row>
    <row r="1467" spans="1:12" ht="15">
      <c r="A1467" s="159"/>
      <c r="B1467" s="143"/>
      <c r="C1467" s="205" t="s">
        <v>938</v>
      </c>
      <c r="D1467" s="162"/>
      <c r="E1467" s="163"/>
      <c r="F1467" s="159"/>
      <c r="G1467" s="164"/>
      <c r="H1467" s="204" t="s">
        <v>940</v>
      </c>
      <c r="I1467" s="211">
        <v>2024</v>
      </c>
      <c r="J1467" s="208">
        <v>3882</v>
      </c>
      <c r="K1467" s="159"/>
      <c r="L1467" s="204" t="s">
        <v>942</v>
      </c>
    </row>
    <row r="1468" spans="1:12" ht="15">
      <c r="A1468" s="159"/>
      <c r="B1468" s="143"/>
      <c r="C1468" s="205" t="s">
        <v>938</v>
      </c>
      <c r="D1468" s="162"/>
      <c r="E1468" s="163"/>
      <c r="F1468" s="159"/>
      <c r="G1468" s="164"/>
      <c r="H1468" s="204" t="s">
        <v>940</v>
      </c>
      <c r="I1468" s="211">
        <v>2024</v>
      </c>
      <c r="J1468" s="208">
        <v>3882</v>
      </c>
      <c r="K1468" s="159"/>
      <c r="L1468" s="204" t="s">
        <v>942</v>
      </c>
    </row>
    <row r="1469" spans="1:12" ht="15">
      <c r="A1469" s="159"/>
      <c r="B1469" s="143"/>
      <c r="C1469" s="205" t="s">
        <v>938</v>
      </c>
      <c r="D1469" s="162"/>
      <c r="E1469" s="163"/>
      <c r="F1469" s="159"/>
      <c r="G1469" s="164"/>
      <c r="H1469" s="204" t="s">
        <v>940</v>
      </c>
      <c r="I1469" s="211">
        <v>2024</v>
      </c>
      <c r="J1469" s="208">
        <v>3882</v>
      </c>
      <c r="K1469" s="159"/>
      <c r="L1469" s="204" t="s">
        <v>942</v>
      </c>
    </row>
    <row r="1470" spans="1:12" ht="15">
      <c r="A1470" s="159"/>
      <c r="B1470" s="143"/>
      <c r="C1470" s="205" t="s">
        <v>938</v>
      </c>
      <c r="D1470" s="162"/>
      <c r="E1470" s="163"/>
      <c r="F1470" s="159"/>
      <c r="G1470" s="164"/>
      <c r="H1470" s="204" t="s">
        <v>940</v>
      </c>
      <c r="I1470" s="211">
        <v>2024</v>
      </c>
      <c r="J1470" s="208">
        <v>3882</v>
      </c>
      <c r="K1470" s="159"/>
      <c r="L1470" s="204" t="s">
        <v>942</v>
      </c>
    </row>
    <row r="1471" spans="1:12" ht="15">
      <c r="A1471" s="159"/>
      <c r="B1471" s="143"/>
      <c r="C1471" s="205" t="s">
        <v>938</v>
      </c>
      <c r="D1471" s="162"/>
      <c r="E1471" s="163"/>
      <c r="F1471" s="159"/>
      <c r="G1471" s="164"/>
      <c r="H1471" s="204" t="s">
        <v>940</v>
      </c>
      <c r="I1471" s="211">
        <v>2024</v>
      </c>
      <c r="J1471" s="208">
        <v>3882</v>
      </c>
      <c r="K1471" s="159"/>
      <c r="L1471" s="204" t="s">
        <v>942</v>
      </c>
    </row>
    <row r="1472" spans="1:12" ht="15">
      <c r="A1472" s="159"/>
      <c r="B1472" s="143"/>
      <c r="C1472" s="205" t="s">
        <v>938</v>
      </c>
      <c r="D1472" s="162"/>
      <c r="E1472" s="163"/>
      <c r="F1472" s="159"/>
      <c r="G1472" s="164"/>
      <c r="H1472" s="204" t="s">
        <v>940</v>
      </c>
      <c r="I1472" s="211">
        <v>2024</v>
      </c>
      <c r="J1472" s="208">
        <v>3370</v>
      </c>
      <c r="K1472" s="159"/>
      <c r="L1472" s="204" t="s">
        <v>942</v>
      </c>
    </row>
    <row r="1473" spans="1:12" ht="15">
      <c r="A1473" s="159"/>
      <c r="B1473" s="143"/>
      <c r="C1473" s="205" t="s">
        <v>938</v>
      </c>
      <c r="D1473" s="162"/>
      <c r="E1473" s="163"/>
      <c r="F1473" s="159"/>
      <c r="G1473" s="164"/>
      <c r="H1473" s="204" t="s">
        <v>940</v>
      </c>
      <c r="I1473" s="211">
        <v>2024</v>
      </c>
      <c r="J1473" s="208">
        <v>2854</v>
      </c>
      <c r="K1473" s="159"/>
      <c r="L1473" s="204" t="s">
        <v>942</v>
      </c>
    </row>
    <row r="1474" spans="1:12" ht="15">
      <c r="A1474" s="159"/>
      <c r="B1474" s="143"/>
      <c r="C1474" s="205" t="s">
        <v>938</v>
      </c>
      <c r="D1474" s="162"/>
      <c r="E1474" s="163"/>
      <c r="F1474" s="159"/>
      <c r="G1474" s="164"/>
      <c r="H1474" s="204" t="s">
        <v>940</v>
      </c>
      <c r="I1474" s="211">
        <v>2024</v>
      </c>
      <c r="J1474" s="208">
        <v>4162</v>
      </c>
      <c r="K1474" s="159"/>
      <c r="L1474" s="204" t="s">
        <v>942</v>
      </c>
    </row>
    <row r="1475" spans="1:12" ht="15">
      <c r="A1475" s="159"/>
      <c r="B1475" s="143"/>
      <c r="C1475" s="205" t="s">
        <v>938</v>
      </c>
      <c r="D1475" s="162"/>
      <c r="E1475" s="163"/>
      <c r="F1475" s="159"/>
      <c r="G1475" s="164"/>
      <c r="H1475" s="204" t="s">
        <v>940</v>
      </c>
      <c r="I1475" s="211">
        <v>2024</v>
      </c>
      <c r="J1475" s="208">
        <v>3882</v>
      </c>
      <c r="K1475" s="159"/>
      <c r="L1475" s="204" t="s">
        <v>942</v>
      </c>
    </row>
    <row r="1476" spans="1:12" ht="15">
      <c r="A1476" s="159"/>
      <c r="B1476" s="143"/>
      <c r="C1476" s="205" t="s">
        <v>938</v>
      </c>
      <c r="D1476" s="162"/>
      <c r="E1476" s="163"/>
      <c r="F1476" s="159"/>
      <c r="G1476" s="164"/>
      <c r="H1476" s="204" t="s">
        <v>940</v>
      </c>
      <c r="I1476" s="211">
        <v>2024</v>
      </c>
      <c r="J1476" s="208">
        <v>3882</v>
      </c>
      <c r="K1476" s="159"/>
      <c r="L1476" s="204" t="s">
        <v>942</v>
      </c>
    </row>
    <row r="1477" spans="1:12" ht="15">
      <c r="A1477" s="159"/>
      <c r="B1477" s="143"/>
      <c r="C1477" s="205" t="s">
        <v>938</v>
      </c>
      <c r="D1477" s="162"/>
      <c r="E1477" s="163"/>
      <c r="F1477" s="159"/>
      <c r="G1477" s="164"/>
      <c r="H1477" s="204" t="s">
        <v>940</v>
      </c>
      <c r="I1477" s="211">
        <v>2024</v>
      </c>
      <c r="J1477" s="208">
        <v>3882</v>
      </c>
      <c r="K1477" s="159"/>
      <c r="L1477" s="204" t="s">
        <v>942</v>
      </c>
    </row>
    <row r="1478" spans="1:12" ht="15">
      <c r="A1478" s="159"/>
      <c r="B1478" s="143"/>
      <c r="C1478" s="205" t="s">
        <v>938</v>
      </c>
      <c r="D1478" s="162"/>
      <c r="E1478" s="163"/>
      <c r="F1478" s="159"/>
      <c r="G1478" s="164"/>
      <c r="H1478" s="204" t="s">
        <v>940</v>
      </c>
      <c r="I1478" s="211">
        <v>2024</v>
      </c>
      <c r="J1478" s="208">
        <v>3882</v>
      </c>
      <c r="K1478" s="159"/>
      <c r="L1478" s="204" t="s">
        <v>942</v>
      </c>
    </row>
    <row r="1479" spans="1:12" ht="15">
      <c r="A1479" s="159"/>
      <c r="B1479" s="143"/>
      <c r="C1479" s="205" t="s">
        <v>938</v>
      </c>
      <c r="D1479" s="162"/>
      <c r="E1479" s="163"/>
      <c r="F1479" s="159"/>
      <c r="G1479" s="164"/>
      <c r="H1479" s="204" t="s">
        <v>940</v>
      </c>
      <c r="I1479" s="211">
        <v>2024</v>
      </c>
      <c r="J1479" s="208">
        <v>3370</v>
      </c>
      <c r="K1479" s="159"/>
      <c r="L1479" s="204" t="s">
        <v>942</v>
      </c>
    </row>
    <row r="1480" spans="1:12" ht="15">
      <c r="A1480" s="159"/>
      <c r="B1480" s="143"/>
      <c r="C1480" s="205" t="s">
        <v>938</v>
      </c>
      <c r="D1480" s="162"/>
      <c r="E1480" s="163"/>
      <c r="F1480" s="159"/>
      <c r="G1480" s="164"/>
      <c r="H1480" s="204" t="s">
        <v>940</v>
      </c>
      <c r="I1480" s="211">
        <v>2024</v>
      </c>
      <c r="J1480" s="208">
        <v>4162</v>
      </c>
      <c r="K1480" s="159"/>
      <c r="L1480" s="204" t="s">
        <v>942</v>
      </c>
    </row>
    <row r="1481" spans="1:12" ht="15">
      <c r="A1481" s="159"/>
      <c r="B1481" s="143"/>
      <c r="C1481" s="205" t="s">
        <v>938</v>
      </c>
      <c r="D1481" s="162"/>
      <c r="E1481" s="163"/>
      <c r="F1481" s="159"/>
      <c r="G1481" s="164"/>
      <c r="H1481" s="204" t="s">
        <v>940</v>
      </c>
      <c r="I1481" s="211">
        <v>2024</v>
      </c>
      <c r="J1481" s="208">
        <v>3882</v>
      </c>
      <c r="K1481" s="159"/>
      <c r="L1481" s="204" t="s">
        <v>942</v>
      </c>
    </row>
    <row r="1482" spans="1:12" ht="15">
      <c r="A1482" s="159"/>
      <c r="B1482" s="143"/>
      <c r="C1482" s="205" t="s">
        <v>938</v>
      </c>
      <c r="D1482" s="162"/>
      <c r="E1482" s="163"/>
      <c r="F1482" s="159"/>
      <c r="G1482" s="164"/>
      <c r="H1482" s="204" t="s">
        <v>940</v>
      </c>
      <c r="I1482" s="211">
        <v>2024</v>
      </c>
      <c r="J1482" s="208">
        <v>3882</v>
      </c>
      <c r="K1482" s="159"/>
      <c r="L1482" s="204" t="s">
        <v>942</v>
      </c>
    </row>
    <row r="1483" spans="1:12" ht="15">
      <c r="A1483" s="159"/>
      <c r="B1483" s="143"/>
      <c r="C1483" s="205" t="s">
        <v>938</v>
      </c>
      <c r="D1483" s="162"/>
      <c r="E1483" s="163"/>
      <c r="F1483" s="159"/>
      <c r="G1483" s="164"/>
      <c r="H1483" s="204" t="s">
        <v>940</v>
      </c>
      <c r="I1483" s="211">
        <v>2024</v>
      </c>
      <c r="J1483" s="208">
        <v>3882</v>
      </c>
      <c r="K1483" s="159"/>
      <c r="L1483" s="204" t="s">
        <v>942</v>
      </c>
    </row>
    <row r="1484" spans="1:12" ht="15">
      <c r="A1484" s="159"/>
      <c r="B1484" s="143"/>
      <c r="C1484" s="205" t="s">
        <v>938</v>
      </c>
      <c r="D1484" s="162"/>
      <c r="E1484" s="163"/>
      <c r="F1484" s="159"/>
      <c r="G1484" s="164"/>
      <c r="H1484" s="204" t="s">
        <v>940</v>
      </c>
      <c r="I1484" s="211">
        <v>2024</v>
      </c>
      <c r="J1484" s="208">
        <v>3882</v>
      </c>
      <c r="K1484" s="159"/>
      <c r="L1484" s="204" t="s">
        <v>942</v>
      </c>
    </row>
    <row r="1485" spans="1:12" ht="15">
      <c r="A1485" s="159"/>
      <c r="B1485" s="143"/>
      <c r="C1485" s="205" t="s">
        <v>938</v>
      </c>
      <c r="D1485" s="162"/>
      <c r="E1485" s="163"/>
      <c r="F1485" s="159"/>
      <c r="G1485" s="164"/>
      <c r="H1485" s="204" t="s">
        <v>940</v>
      </c>
      <c r="I1485" s="211">
        <v>2024</v>
      </c>
      <c r="J1485" s="208">
        <v>4162</v>
      </c>
      <c r="K1485" s="159"/>
      <c r="L1485" s="204" t="s">
        <v>942</v>
      </c>
    </row>
    <row r="1486" spans="1:12" ht="15">
      <c r="A1486" s="159"/>
      <c r="B1486" s="143"/>
      <c r="C1486" s="205" t="s">
        <v>938</v>
      </c>
      <c r="D1486" s="162"/>
      <c r="E1486" s="163"/>
      <c r="F1486" s="159"/>
      <c r="G1486" s="164"/>
      <c r="H1486" s="204" t="s">
        <v>940</v>
      </c>
      <c r="I1486" s="211">
        <v>2024</v>
      </c>
      <c r="J1486" s="208">
        <v>3370</v>
      </c>
      <c r="K1486" s="159"/>
      <c r="L1486" s="204" t="s">
        <v>942</v>
      </c>
    </row>
    <row r="1487" spans="1:12" ht="15">
      <c r="A1487" s="159"/>
      <c r="B1487" s="143"/>
      <c r="C1487" s="205" t="s">
        <v>938</v>
      </c>
      <c r="D1487" s="162"/>
      <c r="E1487" s="163"/>
      <c r="F1487" s="159"/>
      <c r="G1487" s="164"/>
      <c r="H1487" s="204" t="s">
        <v>940</v>
      </c>
      <c r="I1487" s="211">
        <v>2024</v>
      </c>
      <c r="J1487" s="208">
        <v>3370</v>
      </c>
      <c r="K1487" s="159"/>
      <c r="L1487" s="204" t="s">
        <v>942</v>
      </c>
    </row>
    <row r="1488" spans="1:12" ht="15">
      <c r="A1488" s="159"/>
      <c r="B1488" s="143"/>
      <c r="C1488" s="205" t="s">
        <v>938</v>
      </c>
      <c r="D1488" s="162"/>
      <c r="E1488" s="163"/>
      <c r="F1488" s="159"/>
      <c r="G1488" s="164"/>
      <c r="H1488" s="204" t="s">
        <v>940</v>
      </c>
      <c r="I1488" s="211">
        <v>2024</v>
      </c>
      <c r="J1488" s="208">
        <v>3370</v>
      </c>
      <c r="K1488" s="159"/>
      <c r="L1488" s="204" t="s">
        <v>942</v>
      </c>
    </row>
    <row r="1489" spans="1:12" ht="15">
      <c r="A1489" s="159"/>
      <c r="B1489" s="143"/>
      <c r="C1489" s="205" t="s">
        <v>938</v>
      </c>
      <c r="D1489" s="162"/>
      <c r="E1489" s="163"/>
      <c r="F1489" s="159"/>
      <c r="G1489" s="164"/>
      <c r="H1489" s="204" t="s">
        <v>940</v>
      </c>
      <c r="I1489" s="211">
        <v>2024</v>
      </c>
      <c r="J1489" s="208">
        <v>4779</v>
      </c>
      <c r="K1489" s="159"/>
      <c r="L1489" s="204" t="s">
        <v>942</v>
      </c>
    </row>
    <row r="1490" spans="1:12" ht="15">
      <c r="A1490" s="159"/>
      <c r="B1490" s="143"/>
      <c r="C1490" s="205" t="s">
        <v>938</v>
      </c>
      <c r="D1490" s="162"/>
      <c r="E1490" s="163"/>
      <c r="F1490" s="159"/>
      <c r="G1490" s="164"/>
      <c r="H1490" s="204" t="s">
        <v>940</v>
      </c>
      <c r="I1490" s="211">
        <v>2024</v>
      </c>
      <c r="J1490" s="208">
        <v>3882</v>
      </c>
      <c r="K1490" s="159"/>
      <c r="L1490" s="204" t="s">
        <v>942</v>
      </c>
    </row>
    <row r="1491" spans="1:12" ht="15">
      <c r="A1491" s="159"/>
      <c r="B1491" s="143"/>
      <c r="C1491" s="205" t="s">
        <v>938</v>
      </c>
      <c r="D1491" s="162"/>
      <c r="E1491" s="163"/>
      <c r="F1491" s="159"/>
      <c r="G1491" s="164"/>
      <c r="H1491" s="204" t="s">
        <v>940</v>
      </c>
      <c r="I1491" s="211">
        <v>2024</v>
      </c>
      <c r="J1491" s="208">
        <v>4162</v>
      </c>
      <c r="K1491" s="159"/>
      <c r="L1491" s="204" t="s">
        <v>942</v>
      </c>
    </row>
    <row r="1492" spans="1:12" ht="15">
      <c r="A1492" s="159"/>
      <c r="B1492" s="143"/>
      <c r="C1492" s="205" t="s">
        <v>938</v>
      </c>
      <c r="D1492" s="162"/>
      <c r="E1492" s="163"/>
      <c r="F1492" s="159"/>
      <c r="G1492" s="164"/>
      <c r="H1492" s="204" t="s">
        <v>940</v>
      </c>
      <c r="I1492" s="211">
        <v>2024</v>
      </c>
      <c r="J1492" s="208">
        <v>4779</v>
      </c>
      <c r="K1492" s="159"/>
      <c r="L1492" s="204" t="s">
        <v>942</v>
      </c>
    </row>
    <row r="1493" spans="1:12" ht="15">
      <c r="A1493" s="159"/>
      <c r="B1493" s="143"/>
      <c r="C1493" s="205" t="s">
        <v>938</v>
      </c>
      <c r="D1493" s="162"/>
      <c r="E1493" s="163"/>
      <c r="F1493" s="159"/>
      <c r="G1493" s="164"/>
      <c r="H1493" s="204" t="s">
        <v>940</v>
      </c>
      <c r="I1493" s="211">
        <v>2024</v>
      </c>
      <c r="J1493" s="208">
        <v>3882</v>
      </c>
      <c r="K1493" s="159"/>
      <c r="L1493" s="204" t="s">
        <v>942</v>
      </c>
    </row>
    <row r="1494" spans="1:12" ht="15">
      <c r="A1494" s="159"/>
      <c r="B1494" s="143"/>
      <c r="C1494" s="205" t="s">
        <v>938</v>
      </c>
      <c r="D1494" s="162"/>
      <c r="E1494" s="163"/>
      <c r="F1494" s="159"/>
      <c r="G1494" s="164"/>
      <c r="H1494" s="204" t="s">
        <v>940</v>
      </c>
      <c r="I1494" s="211">
        <v>2024</v>
      </c>
      <c r="J1494" s="208">
        <v>3882</v>
      </c>
      <c r="K1494" s="159"/>
      <c r="L1494" s="204" t="s">
        <v>942</v>
      </c>
    </row>
    <row r="1495" spans="1:12" ht="15">
      <c r="A1495" s="159"/>
      <c r="B1495" s="143"/>
      <c r="C1495" s="205" t="s">
        <v>938</v>
      </c>
      <c r="D1495" s="162"/>
      <c r="E1495" s="163"/>
      <c r="F1495" s="159"/>
      <c r="G1495" s="164"/>
      <c r="H1495" s="204" t="s">
        <v>940</v>
      </c>
      <c r="I1495" s="211">
        <v>2024</v>
      </c>
      <c r="J1495" s="208">
        <v>4162</v>
      </c>
      <c r="K1495" s="159"/>
      <c r="L1495" s="204" t="s">
        <v>942</v>
      </c>
    </row>
    <row r="1496" spans="1:12" ht="15">
      <c r="A1496" s="159"/>
      <c r="B1496" s="143"/>
      <c r="C1496" s="205" t="s">
        <v>938</v>
      </c>
      <c r="D1496" s="162"/>
      <c r="E1496" s="163"/>
      <c r="F1496" s="159"/>
      <c r="G1496" s="164"/>
      <c r="H1496" s="204" t="s">
        <v>940</v>
      </c>
      <c r="I1496" s="211">
        <v>2024</v>
      </c>
      <c r="J1496" s="208">
        <v>3882</v>
      </c>
      <c r="K1496" s="159"/>
      <c r="L1496" s="204" t="s">
        <v>942</v>
      </c>
    </row>
    <row r="1497" spans="1:12" ht="15">
      <c r="A1497" s="159"/>
      <c r="B1497" s="143"/>
      <c r="C1497" s="205" t="s">
        <v>938</v>
      </c>
      <c r="D1497" s="162"/>
      <c r="E1497" s="163"/>
      <c r="F1497" s="159"/>
      <c r="G1497" s="164"/>
      <c r="H1497" s="204" t="s">
        <v>940</v>
      </c>
      <c r="I1497" s="211">
        <v>2024</v>
      </c>
      <c r="J1497" s="208">
        <v>4779</v>
      </c>
      <c r="K1497" s="159"/>
      <c r="L1497" s="204" t="s">
        <v>942</v>
      </c>
    </row>
    <row r="1498" spans="1:12" ht="15">
      <c r="A1498" s="159"/>
      <c r="B1498" s="143"/>
      <c r="C1498" s="205" t="s">
        <v>938</v>
      </c>
      <c r="D1498" s="162"/>
      <c r="E1498" s="163"/>
      <c r="F1498" s="159"/>
      <c r="G1498" s="164"/>
      <c r="H1498" s="204" t="s">
        <v>940</v>
      </c>
      <c r="I1498" s="211">
        <v>2024</v>
      </c>
      <c r="J1498" s="208">
        <v>3370</v>
      </c>
      <c r="K1498" s="159"/>
      <c r="L1498" s="204" t="s">
        <v>942</v>
      </c>
    </row>
    <row r="1499" spans="1:12" ht="15">
      <c r="A1499" s="159"/>
      <c r="B1499" s="143"/>
      <c r="C1499" s="205" t="s">
        <v>938</v>
      </c>
      <c r="D1499" s="162"/>
      <c r="E1499" s="163"/>
      <c r="F1499" s="159"/>
      <c r="G1499" s="164"/>
      <c r="H1499" s="204" t="s">
        <v>940</v>
      </c>
      <c r="I1499" s="211">
        <v>2024</v>
      </c>
      <c r="J1499" s="208">
        <v>4779</v>
      </c>
      <c r="K1499" s="159"/>
      <c r="L1499" s="204" t="s">
        <v>942</v>
      </c>
    </row>
    <row r="1500" spans="1:12" ht="15">
      <c r="A1500" s="159"/>
      <c r="B1500" s="143"/>
      <c r="C1500" s="205" t="s">
        <v>938</v>
      </c>
      <c r="D1500" s="162"/>
      <c r="E1500" s="163"/>
      <c r="F1500" s="159"/>
      <c r="G1500" s="164"/>
      <c r="H1500" s="204" t="s">
        <v>940</v>
      </c>
      <c r="I1500" s="211">
        <v>2024</v>
      </c>
      <c r="J1500" s="208">
        <v>3882</v>
      </c>
      <c r="K1500" s="159"/>
      <c r="L1500" s="204" t="s">
        <v>942</v>
      </c>
    </row>
    <row r="1501" spans="1:12" ht="15">
      <c r="A1501" s="159"/>
      <c r="B1501" s="143"/>
      <c r="C1501" s="205" t="s">
        <v>938</v>
      </c>
      <c r="D1501" s="162"/>
      <c r="E1501" s="163"/>
      <c r="F1501" s="159"/>
      <c r="G1501" s="164"/>
      <c r="H1501" s="204" t="s">
        <v>940</v>
      </c>
      <c r="I1501" s="211">
        <v>2024</v>
      </c>
      <c r="J1501" s="208">
        <v>3882</v>
      </c>
      <c r="K1501" s="159"/>
      <c r="L1501" s="204" t="s">
        <v>942</v>
      </c>
    </row>
    <row r="1502" spans="1:12" ht="15">
      <c r="A1502" s="159"/>
      <c r="B1502" s="143"/>
      <c r="C1502" s="205" t="s">
        <v>938</v>
      </c>
      <c r="D1502" s="162"/>
      <c r="E1502" s="163"/>
      <c r="F1502" s="159"/>
      <c r="G1502" s="164"/>
      <c r="H1502" s="204" t="s">
        <v>940</v>
      </c>
      <c r="I1502" s="211">
        <v>2024</v>
      </c>
      <c r="J1502" s="208">
        <v>5290</v>
      </c>
      <c r="K1502" s="159"/>
      <c r="L1502" s="204" t="s">
        <v>942</v>
      </c>
    </row>
    <row r="1503" spans="1:12" ht="15">
      <c r="A1503" s="159"/>
      <c r="B1503" s="143"/>
      <c r="C1503" s="205" t="s">
        <v>938</v>
      </c>
      <c r="D1503" s="162"/>
      <c r="E1503" s="163"/>
      <c r="F1503" s="159"/>
      <c r="G1503" s="164"/>
      <c r="H1503" s="204" t="s">
        <v>940</v>
      </c>
      <c r="I1503" s="211">
        <v>2024</v>
      </c>
      <c r="J1503" s="208">
        <v>5290</v>
      </c>
      <c r="K1503" s="159"/>
      <c r="L1503" s="204" t="s">
        <v>942</v>
      </c>
    </row>
    <row r="1504" spans="1:12" ht="15">
      <c r="A1504" s="159"/>
      <c r="B1504" s="143"/>
      <c r="C1504" s="205" t="s">
        <v>938</v>
      </c>
      <c r="D1504" s="162"/>
      <c r="E1504" s="163"/>
      <c r="F1504" s="159"/>
      <c r="G1504" s="164"/>
      <c r="H1504" s="204" t="s">
        <v>940</v>
      </c>
      <c r="I1504" s="211">
        <v>2024</v>
      </c>
      <c r="J1504" s="208">
        <v>3882</v>
      </c>
      <c r="K1504" s="159"/>
      <c r="L1504" s="204" t="s">
        <v>942</v>
      </c>
    </row>
    <row r="1505" spans="1:12" ht="15">
      <c r="A1505" s="159"/>
      <c r="B1505" s="143"/>
      <c r="C1505" s="205" t="s">
        <v>938</v>
      </c>
      <c r="D1505" s="162"/>
      <c r="E1505" s="163"/>
      <c r="F1505" s="159"/>
      <c r="G1505" s="164"/>
      <c r="H1505" s="204" t="s">
        <v>940</v>
      </c>
      <c r="I1505" s="211">
        <v>2024</v>
      </c>
      <c r="J1505" s="208">
        <v>4779</v>
      </c>
      <c r="K1505" s="159"/>
      <c r="L1505" s="204" t="s">
        <v>942</v>
      </c>
    </row>
    <row r="1506" spans="1:12" ht="15">
      <c r="A1506" s="159"/>
      <c r="B1506" s="143"/>
      <c r="C1506" s="205" t="s">
        <v>938</v>
      </c>
      <c r="D1506" s="162"/>
      <c r="E1506" s="163"/>
      <c r="F1506" s="159"/>
      <c r="G1506" s="164"/>
      <c r="H1506" s="204" t="s">
        <v>940</v>
      </c>
      <c r="I1506" s="211">
        <v>2024</v>
      </c>
      <c r="J1506" s="208">
        <v>3370</v>
      </c>
      <c r="K1506" s="159"/>
      <c r="L1506" s="204" t="s">
        <v>942</v>
      </c>
    </row>
    <row r="1507" spans="1:12" ht="15">
      <c r="A1507" s="159"/>
      <c r="B1507" s="143"/>
      <c r="C1507" s="205" t="s">
        <v>938</v>
      </c>
      <c r="D1507" s="162"/>
      <c r="E1507" s="163"/>
      <c r="F1507" s="159"/>
      <c r="G1507" s="164"/>
      <c r="H1507" s="204" t="s">
        <v>940</v>
      </c>
      <c r="I1507" s="211">
        <v>2024</v>
      </c>
      <c r="J1507" s="208">
        <v>3882</v>
      </c>
      <c r="K1507" s="159"/>
      <c r="L1507" s="204" t="s">
        <v>942</v>
      </c>
    </row>
    <row r="1508" spans="1:12" ht="15">
      <c r="A1508" s="159"/>
      <c r="B1508" s="143"/>
      <c r="C1508" s="205" t="s">
        <v>938</v>
      </c>
      <c r="D1508" s="162"/>
      <c r="E1508" s="163"/>
      <c r="F1508" s="159"/>
      <c r="G1508" s="164"/>
      <c r="H1508" s="204" t="s">
        <v>940</v>
      </c>
      <c r="I1508" s="211">
        <v>2024</v>
      </c>
      <c r="J1508" s="208">
        <v>3882</v>
      </c>
      <c r="K1508" s="159"/>
      <c r="L1508" s="204" t="s">
        <v>942</v>
      </c>
    </row>
    <row r="1509" spans="1:12" ht="15">
      <c r="A1509" s="159"/>
      <c r="B1509" s="143"/>
      <c r="C1509" s="205" t="s">
        <v>938</v>
      </c>
      <c r="D1509" s="162"/>
      <c r="E1509" s="163"/>
      <c r="F1509" s="159"/>
      <c r="G1509" s="164"/>
      <c r="H1509" s="204" t="s">
        <v>940</v>
      </c>
      <c r="I1509" s="211">
        <v>2024</v>
      </c>
      <c r="J1509" s="208">
        <v>3882</v>
      </c>
      <c r="K1509" s="159"/>
      <c r="L1509" s="204" t="s">
        <v>942</v>
      </c>
    </row>
    <row r="1510" spans="1:12" ht="15">
      <c r="A1510" s="159"/>
      <c r="B1510" s="143"/>
      <c r="C1510" s="205" t="s">
        <v>938</v>
      </c>
      <c r="D1510" s="162"/>
      <c r="E1510" s="163"/>
      <c r="F1510" s="159"/>
      <c r="G1510" s="164"/>
      <c r="H1510" s="204" t="s">
        <v>940</v>
      </c>
      <c r="I1510" s="211">
        <v>2024</v>
      </c>
      <c r="J1510" s="208">
        <v>3882</v>
      </c>
      <c r="K1510" s="159"/>
      <c r="L1510" s="204" t="s">
        <v>942</v>
      </c>
    </row>
    <row r="1511" spans="1:12" ht="15">
      <c r="A1511" s="159"/>
      <c r="B1511" s="143"/>
      <c r="C1511" s="205" t="s">
        <v>938</v>
      </c>
      <c r="D1511" s="162"/>
      <c r="E1511" s="163"/>
      <c r="F1511" s="159"/>
      <c r="G1511" s="164"/>
      <c r="H1511" s="204" t="s">
        <v>940</v>
      </c>
      <c r="I1511" s="211">
        <v>2024</v>
      </c>
      <c r="J1511" s="208">
        <v>5290</v>
      </c>
      <c r="K1511" s="159"/>
      <c r="L1511" s="204" t="s">
        <v>942</v>
      </c>
    </row>
    <row r="1512" spans="1:12" ht="15">
      <c r="A1512" s="159"/>
      <c r="B1512" s="143"/>
      <c r="C1512" s="205" t="s">
        <v>938</v>
      </c>
      <c r="D1512" s="162"/>
      <c r="E1512" s="163"/>
      <c r="F1512" s="159"/>
      <c r="G1512" s="164"/>
      <c r="H1512" s="204" t="s">
        <v>940</v>
      </c>
      <c r="I1512" s="211">
        <v>2024</v>
      </c>
      <c r="J1512" s="208">
        <v>3882</v>
      </c>
      <c r="K1512" s="159"/>
      <c r="L1512" s="204" t="s">
        <v>942</v>
      </c>
    </row>
    <row r="1513" spans="1:12" ht="15">
      <c r="A1513" s="159"/>
      <c r="B1513" s="143"/>
      <c r="C1513" s="205" t="s">
        <v>938</v>
      </c>
      <c r="D1513" s="162"/>
      <c r="E1513" s="163"/>
      <c r="F1513" s="159"/>
      <c r="G1513" s="164"/>
      <c r="H1513" s="204" t="s">
        <v>940</v>
      </c>
      <c r="I1513" s="211">
        <v>2024</v>
      </c>
      <c r="J1513" s="208">
        <v>2854</v>
      </c>
      <c r="K1513" s="159"/>
      <c r="L1513" s="204" t="s">
        <v>942</v>
      </c>
    </row>
    <row r="1514" spans="1:12" ht="15">
      <c r="A1514" s="159"/>
      <c r="B1514" s="143"/>
      <c r="C1514" s="205" t="s">
        <v>938</v>
      </c>
      <c r="D1514" s="162"/>
      <c r="E1514" s="163"/>
      <c r="F1514" s="159"/>
      <c r="G1514" s="164"/>
      <c r="H1514" s="204" t="s">
        <v>940</v>
      </c>
      <c r="I1514" s="211">
        <v>2024</v>
      </c>
      <c r="J1514" s="208">
        <v>3370</v>
      </c>
      <c r="K1514" s="159"/>
      <c r="L1514" s="204" t="s">
        <v>942</v>
      </c>
    </row>
    <row r="1515" spans="1:12" ht="15">
      <c r="A1515" s="159"/>
      <c r="B1515" s="143"/>
      <c r="C1515" s="205" t="s">
        <v>938</v>
      </c>
      <c r="D1515" s="162"/>
      <c r="E1515" s="163"/>
      <c r="F1515" s="159"/>
      <c r="G1515" s="164"/>
      <c r="H1515" s="204" t="s">
        <v>940</v>
      </c>
      <c r="I1515" s="211">
        <v>2024</v>
      </c>
      <c r="J1515" s="208">
        <v>5488</v>
      </c>
      <c r="K1515" s="159"/>
      <c r="L1515" s="204" t="s">
        <v>942</v>
      </c>
    </row>
    <row r="1516" spans="1:12" ht="15">
      <c r="A1516" s="159"/>
      <c r="B1516" s="143"/>
      <c r="C1516" s="205" t="s">
        <v>938</v>
      </c>
      <c r="D1516" s="162"/>
      <c r="E1516" s="163"/>
      <c r="F1516" s="159"/>
      <c r="G1516" s="164"/>
      <c r="H1516" s="204" t="s">
        <v>940</v>
      </c>
      <c r="I1516" s="211">
        <v>2024</v>
      </c>
      <c r="J1516" s="208">
        <v>3882</v>
      </c>
      <c r="K1516" s="159"/>
      <c r="L1516" s="204" t="s">
        <v>942</v>
      </c>
    </row>
    <row r="1517" spans="1:12" ht="15">
      <c r="A1517" s="159"/>
      <c r="B1517" s="143"/>
      <c r="C1517" s="205" t="s">
        <v>938</v>
      </c>
      <c r="D1517" s="162"/>
      <c r="E1517" s="163"/>
      <c r="F1517" s="159"/>
      <c r="G1517" s="164"/>
      <c r="H1517" s="204" t="s">
        <v>940</v>
      </c>
      <c r="I1517" s="211">
        <v>2024</v>
      </c>
      <c r="J1517" s="208">
        <v>3370</v>
      </c>
      <c r="K1517" s="159"/>
      <c r="L1517" s="204" t="s">
        <v>942</v>
      </c>
    </row>
    <row r="1518" spans="1:12" ht="15">
      <c r="A1518" s="159"/>
      <c r="B1518" s="143"/>
      <c r="C1518" s="205" t="s">
        <v>938</v>
      </c>
      <c r="D1518" s="162"/>
      <c r="E1518" s="163"/>
      <c r="F1518" s="159"/>
      <c r="G1518" s="164"/>
      <c r="H1518" s="204" t="s">
        <v>940</v>
      </c>
      <c r="I1518" s="211">
        <v>2024</v>
      </c>
      <c r="J1518" s="208">
        <v>3882</v>
      </c>
      <c r="K1518" s="159"/>
      <c r="L1518" s="204" t="s">
        <v>942</v>
      </c>
    </row>
    <row r="1519" spans="1:12" ht="15">
      <c r="A1519" s="159"/>
      <c r="B1519" s="143"/>
      <c r="C1519" s="205" t="s">
        <v>938</v>
      </c>
      <c r="D1519" s="162"/>
      <c r="E1519" s="163"/>
      <c r="F1519" s="159"/>
      <c r="G1519" s="164"/>
      <c r="H1519" s="204" t="s">
        <v>940</v>
      </c>
      <c r="I1519" s="211">
        <v>2024</v>
      </c>
      <c r="J1519" s="208">
        <v>3370</v>
      </c>
      <c r="K1519" s="159"/>
      <c r="L1519" s="204" t="s">
        <v>942</v>
      </c>
    </row>
    <row r="1520" spans="1:12" ht="15">
      <c r="A1520" s="159"/>
      <c r="B1520" s="143"/>
      <c r="C1520" s="205" t="s">
        <v>938</v>
      </c>
      <c r="D1520" s="162"/>
      <c r="E1520" s="163"/>
      <c r="F1520" s="159"/>
      <c r="G1520" s="164"/>
      <c r="H1520" s="204" t="s">
        <v>940</v>
      </c>
      <c r="I1520" s="211">
        <v>2024</v>
      </c>
      <c r="J1520" s="208">
        <v>2854</v>
      </c>
      <c r="K1520" s="159"/>
      <c r="L1520" s="204" t="s">
        <v>942</v>
      </c>
    </row>
    <row r="1521" spans="1:12" ht="15">
      <c r="A1521" s="159"/>
      <c r="B1521" s="143"/>
      <c r="C1521" s="205" t="s">
        <v>938</v>
      </c>
      <c r="D1521" s="162"/>
      <c r="E1521" s="163"/>
      <c r="F1521" s="159"/>
      <c r="G1521" s="164"/>
      <c r="H1521" s="204" t="s">
        <v>940</v>
      </c>
      <c r="I1521" s="211">
        <v>2024</v>
      </c>
      <c r="J1521" s="208">
        <v>4162</v>
      </c>
      <c r="K1521" s="159"/>
      <c r="L1521" s="204" t="s">
        <v>942</v>
      </c>
    </row>
    <row r="1522" spans="1:12" ht="15">
      <c r="A1522" s="159"/>
      <c r="B1522" s="143"/>
      <c r="C1522" s="205" t="s">
        <v>938</v>
      </c>
      <c r="D1522" s="162"/>
      <c r="E1522" s="163"/>
      <c r="F1522" s="159"/>
      <c r="G1522" s="164"/>
      <c r="H1522" s="204" t="s">
        <v>940</v>
      </c>
      <c r="I1522" s="211">
        <v>2024</v>
      </c>
      <c r="J1522" s="208">
        <v>3882</v>
      </c>
      <c r="K1522" s="159"/>
      <c r="L1522" s="204" t="s">
        <v>942</v>
      </c>
    </row>
    <row r="1523" spans="1:12" ht="15">
      <c r="A1523" s="159"/>
      <c r="B1523" s="143"/>
      <c r="C1523" s="205" t="s">
        <v>938</v>
      </c>
      <c r="D1523" s="162"/>
      <c r="E1523" s="163"/>
      <c r="F1523" s="159"/>
      <c r="G1523" s="164"/>
      <c r="H1523" s="204" t="s">
        <v>940</v>
      </c>
      <c r="I1523" s="211">
        <v>2024</v>
      </c>
      <c r="J1523" s="208">
        <v>3370</v>
      </c>
      <c r="K1523" s="159"/>
      <c r="L1523" s="204" t="s">
        <v>942</v>
      </c>
    </row>
    <row r="1524" spans="1:12" ht="15">
      <c r="A1524" s="159"/>
      <c r="B1524" s="143"/>
      <c r="C1524" s="205" t="s">
        <v>938</v>
      </c>
      <c r="D1524" s="162"/>
      <c r="E1524" s="163"/>
      <c r="F1524" s="159"/>
      <c r="G1524" s="164"/>
      <c r="H1524" s="204" t="s">
        <v>940</v>
      </c>
      <c r="I1524" s="211">
        <v>2024</v>
      </c>
      <c r="J1524" s="208">
        <v>3882</v>
      </c>
      <c r="K1524" s="159"/>
      <c r="L1524" s="204" t="s">
        <v>942</v>
      </c>
    </row>
    <row r="1525" spans="1:12" ht="15">
      <c r="A1525" s="159"/>
      <c r="B1525" s="143"/>
      <c r="C1525" s="205" t="s">
        <v>938</v>
      </c>
      <c r="D1525" s="162"/>
      <c r="E1525" s="163"/>
      <c r="F1525" s="159"/>
      <c r="G1525" s="164"/>
      <c r="H1525" s="204" t="s">
        <v>940</v>
      </c>
      <c r="I1525" s="211">
        <v>2024</v>
      </c>
      <c r="J1525" s="208">
        <v>3370</v>
      </c>
      <c r="K1525" s="159"/>
      <c r="L1525" s="204" t="s">
        <v>942</v>
      </c>
    </row>
    <row r="1526" spans="1:12" ht="15">
      <c r="A1526" s="159"/>
      <c r="B1526" s="143"/>
      <c r="C1526" s="205" t="s">
        <v>938</v>
      </c>
      <c r="D1526" s="162"/>
      <c r="E1526" s="163"/>
      <c r="F1526" s="159"/>
      <c r="G1526" s="164"/>
      <c r="H1526" s="204" t="s">
        <v>940</v>
      </c>
      <c r="I1526" s="211">
        <v>2024</v>
      </c>
      <c r="J1526" s="208">
        <v>3882</v>
      </c>
      <c r="K1526" s="159"/>
      <c r="L1526" s="204" t="s">
        <v>942</v>
      </c>
    </row>
    <row r="1527" spans="1:12" ht="15">
      <c r="A1527" s="159"/>
      <c r="B1527" s="143"/>
      <c r="C1527" s="205" t="s">
        <v>938</v>
      </c>
      <c r="D1527" s="162"/>
      <c r="E1527" s="163"/>
      <c r="F1527" s="159"/>
      <c r="G1527" s="164"/>
      <c r="H1527" s="204" t="s">
        <v>940</v>
      </c>
      <c r="I1527" s="211">
        <v>2024</v>
      </c>
      <c r="J1527" s="208">
        <v>4779</v>
      </c>
      <c r="K1527" s="159"/>
      <c r="L1527" s="204" t="s">
        <v>942</v>
      </c>
    </row>
    <row r="1528" spans="1:12" ht="15">
      <c r="A1528" s="159"/>
      <c r="B1528" s="143"/>
      <c r="C1528" s="205" t="s">
        <v>938</v>
      </c>
      <c r="D1528" s="162"/>
      <c r="E1528" s="163"/>
      <c r="F1528" s="159"/>
      <c r="G1528" s="164"/>
      <c r="H1528" s="204" t="s">
        <v>940</v>
      </c>
      <c r="I1528" s="211">
        <v>2024</v>
      </c>
      <c r="J1528" s="208">
        <v>4779</v>
      </c>
      <c r="K1528" s="159"/>
      <c r="L1528" s="204" t="s">
        <v>942</v>
      </c>
    </row>
    <row r="1529" spans="1:12" ht="15">
      <c r="A1529" s="159"/>
      <c r="B1529" s="143"/>
      <c r="C1529" s="205" t="s">
        <v>938</v>
      </c>
      <c r="D1529" s="162"/>
      <c r="E1529" s="163"/>
      <c r="F1529" s="159"/>
      <c r="G1529" s="164"/>
      <c r="H1529" s="204" t="s">
        <v>940</v>
      </c>
      <c r="I1529" s="211">
        <v>2024</v>
      </c>
      <c r="J1529" s="208">
        <v>3888</v>
      </c>
      <c r="K1529" s="159"/>
      <c r="L1529" s="204" t="s">
        <v>942</v>
      </c>
    </row>
    <row r="1530" spans="1:12" ht="15">
      <c r="A1530" s="159"/>
      <c r="B1530" s="143"/>
      <c r="C1530" s="205" t="s">
        <v>938</v>
      </c>
      <c r="D1530" s="162"/>
      <c r="E1530" s="163"/>
      <c r="F1530" s="159"/>
      <c r="G1530" s="164"/>
      <c r="H1530" s="204" t="s">
        <v>940</v>
      </c>
      <c r="I1530" s="211">
        <v>2024</v>
      </c>
      <c r="J1530" s="208">
        <v>4162</v>
      </c>
      <c r="K1530" s="159"/>
      <c r="L1530" s="204" t="s">
        <v>942</v>
      </c>
    </row>
    <row r="1531" spans="1:12" ht="15">
      <c r="A1531" s="159"/>
      <c r="B1531" s="143"/>
      <c r="C1531" s="205" t="s">
        <v>938</v>
      </c>
      <c r="D1531" s="162"/>
      <c r="E1531" s="163"/>
      <c r="F1531" s="159"/>
      <c r="G1531" s="164"/>
      <c r="H1531" s="204" t="s">
        <v>940</v>
      </c>
      <c r="I1531" s="211">
        <v>2024</v>
      </c>
      <c r="J1531" s="208">
        <v>3370</v>
      </c>
      <c r="K1531" s="159"/>
      <c r="L1531" s="204" t="s">
        <v>942</v>
      </c>
    </row>
    <row r="1532" spans="1:12" ht="15">
      <c r="A1532" s="159"/>
      <c r="B1532" s="143"/>
      <c r="C1532" s="205" t="s">
        <v>938</v>
      </c>
      <c r="D1532" s="162"/>
      <c r="E1532" s="163"/>
      <c r="F1532" s="159"/>
      <c r="G1532" s="164"/>
      <c r="H1532" s="204" t="s">
        <v>940</v>
      </c>
      <c r="I1532" s="211">
        <v>2024</v>
      </c>
      <c r="J1532" s="208">
        <v>3370</v>
      </c>
      <c r="K1532" s="159"/>
      <c r="L1532" s="204" t="s">
        <v>942</v>
      </c>
    </row>
    <row r="1533" spans="1:12" ht="15">
      <c r="A1533" s="159"/>
      <c r="B1533" s="143"/>
      <c r="C1533" s="205" t="s">
        <v>938</v>
      </c>
      <c r="D1533" s="162"/>
      <c r="E1533" s="163"/>
      <c r="F1533" s="159"/>
      <c r="G1533" s="164"/>
      <c r="H1533" s="204" t="s">
        <v>940</v>
      </c>
      <c r="I1533" s="211">
        <v>2024</v>
      </c>
      <c r="J1533" s="208">
        <v>3846</v>
      </c>
      <c r="K1533" s="159"/>
      <c r="L1533" s="204" t="s">
        <v>942</v>
      </c>
    </row>
    <row r="1534" spans="1:12" ht="15">
      <c r="A1534" s="159"/>
      <c r="B1534" s="143"/>
      <c r="C1534" s="205" t="s">
        <v>938</v>
      </c>
      <c r="D1534" s="162"/>
      <c r="E1534" s="163"/>
      <c r="F1534" s="159"/>
      <c r="G1534" s="164"/>
      <c r="H1534" s="204" t="s">
        <v>940</v>
      </c>
      <c r="I1534" s="211">
        <v>2024</v>
      </c>
      <c r="J1534" s="208">
        <v>3370</v>
      </c>
      <c r="K1534" s="159"/>
      <c r="L1534" s="204" t="s">
        <v>942</v>
      </c>
    </row>
    <row r="1535" spans="1:12" ht="15">
      <c r="A1535" s="159"/>
      <c r="B1535" s="143"/>
      <c r="C1535" s="205" t="s">
        <v>938</v>
      </c>
      <c r="D1535" s="162"/>
      <c r="E1535" s="163"/>
      <c r="F1535" s="159"/>
      <c r="G1535" s="164"/>
      <c r="H1535" s="204" t="s">
        <v>940</v>
      </c>
      <c r="I1535" s="211">
        <v>2024</v>
      </c>
      <c r="J1535" s="208">
        <v>2854</v>
      </c>
      <c r="K1535" s="159"/>
      <c r="L1535" s="204" t="s">
        <v>942</v>
      </c>
    </row>
    <row r="1536" spans="1:12" ht="15">
      <c r="A1536" s="159"/>
      <c r="B1536" s="143"/>
      <c r="C1536" s="205" t="s">
        <v>938</v>
      </c>
      <c r="D1536" s="162"/>
      <c r="E1536" s="163"/>
      <c r="F1536" s="159"/>
      <c r="G1536" s="164"/>
      <c r="H1536" s="204" t="s">
        <v>940</v>
      </c>
      <c r="I1536" s="211">
        <v>2024</v>
      </c>
      <c r="J1536" s="208">
        <v>3846</v>
      </c>
      <c r="K1536" s="159"/>
      <c r="L1536" s="204" t="s">
        <v>942</v>
      </c>
    </row>
    <row r="1537" spans="1:12" ht="15">
      <c r="A1537" s="159"/>
      <c r="B1537" s="143"/>
      <c r="C1537" s="205" t="s">
        <v>938</v>
      </c>
      <c r="D1537" s="162"/>
      <c r="E1537" s="163"/>
      <c r="F1537" s="159"/>
      <c r="G1537" s="164"/>
      <c r="H1537" s="204" t="s">
        <v>940</v>
      </c>
      <c r="I1537" s="211">
        <v>2024</v>
      </c>
      <c r="J1537" s="208">
        <v>3882</v>
      </c>
      <c r="K1537" s="159"/>
      <c r="L1537" s="204" t="s">
        <v>942</v>
      </c>
    </row>
    <row r="1538" spans="1:12" ht="15">
      <c r="A1538" s="159"/>
      <c r="B1538" s="143"/>
      <c r="C1538" s="205" t="s">
        <v>938</v>
      </c>
      <c r="D1538" s="162"/>
      <c r="E1538" s="163"/>
      <c r="F1538" s="159"/>
      <c r="G1538" s="164"/>
      <c r="H1538" s="204" t="s">
        <v>940</v>
      </c>
      <c r="I1538" s="211">
        <v>2024</v>
      </c>
      <c r="J1538" s="208">
        <v>4162</v>
      </c>
      <c r="K1538" s="159"/>
      <c r="L1538" s="204" t="s">
        <v>942</v>
      </c>
    </row>
    <row r="1539" spans="1:12" ht="15">
      <c r="A1539" s="159"/>
      <c r="B1539" s="143"/>
      <c r="C1539" s="205" t="s">
        <v>938</v>
      </c>
      <c r="D1539" s="162"/>
      <c r="E1539" s="163"/>
      <c r="F1539" s="159"/>
      <c r="G1539" s="164"/>
      <c r="H1539" s="204" t="s">
        <v>940</v>
      </c>
      <c r="I1539" s="211">
        <v>2024</v>
      </c>
      <c r="J1539" s="208">
        <v>3370</v>
      </c>
      <c r="K1539" s="159"/>
      <c r="L1539" s="204" t="s">
        <v>942</v>
      </c>
    </row>
    <row r="1540" spans="1:12" ht="15">
      <c r="A1540" s="159"/>
      <c r="B1540" s="143"/>
      <c r="C1540" s="205" t="s">
        <v>938</v>
      </c>
      <c r="D1540" s="162"/>
      <c r="E1540" s="163"/>
      <c r="F1540" s="159"/>
      <c r="G1540" s="164"/>
      <c r="H1540" s="204" t="s">
        <v>940</v>
      </c>
      <c r="I1540" s="211">
        <v>2024</v>
      </c>
      <c r="J1540" s="208">
        <v>4162</v>
      </c>
      <c r="K1540" s="159"/>
      <c r="L1540" s="204" t="s">
        <v>942</v>
      </c>
    </row>
    <row r="1541" spans="1:12" ht="15">
      <c r="A1541" s="159"/>
      <c r="B1541" s="143"/>
      <c r="C1541" s="205" t="s">
        <v>938</v>
      </c>
      <c r="D1541" s="162"/>
      <c r="E1541" s="163"/>
      <c r="F1541" s="159"/>
      <c r="G1541" s="164"/>
      <c r="H1541" s="204" t="s">
        <v>940</v>
      </c>
      <c r="I1541" s="211">
        <v>2024</v>
      </c>
      <c r="J1541" s="208">
        <v>4162</v>
      </c>
      <c r="K1541" s="159"/>
      <c r="L1541" s="204" t="s">
        <v>942</v>
      </c>
    </row>
    <row r="1542" spans="1:12" ht="15">
      <c r="A1542" s="159"/>
      <c r="B1542" s="143"/>
      <c r="C1542" s="205" t="s">
        <v>938</v>
      </c>
      <c r="D1542" s="162"/>
      <c r="E1542" s="163"/>
      <c r="F1542" s="159"/>
      <c r="G1542" s="164"/>
      <c r="H1542" s="204" t="s">
        <v>940</v>
      </c>
      <c r="I1542" s="211">
        <v>2024</v>
      </c>
      <c r="J1542" s="208">
        <v>4162</v>
      </c>
      <c r="K1542" s="159"/>
      <c r="L1542" s="204" t="s">
        <v>942</v>
      </c>
    </row>
    <row r="1543" spans="1:12" ht="15">
      <c r="A1543" s="159"/>
      <c r="B1543" s="143"/>
      <c r="C1543" s="205" t="s">
        <v>938</v>
      </c>
      <c r="D1543" s="162"/>
      <c r="E1543" s="163"/>
      <c r="F1543" s="159"/>
      <c r="G1543" s="164"/>
      <c r="H1543" s="204" t="s">
        <v>940</v>
      </c>
      <c r="I1543" s="211">
        <v>2024</v>
      </c>
      <c r="J1543" s="208">
        <v>3370</v>
      </c>
      <c r="K1543" s="159"/>
      <c r="L1543" s="204" t="s">
        <v>942</v>
      </c>
    </row>
    <row r="1544" spans="1:12" ht="15">
      <c r="A1544" s="159"/>
      <c r="B1544" s="143"/>
      <c r="C1544" s="205" t="s">
        <v>938</v>
      </c>
      <c r="D1544" s="162"/>
      <c r="E1544" s="163"/>
      <c r="F1544" s="159"/>
      <c r="G1544" s="164"/>
      <c r="H1544" s="204" t="s">
        <v>940</v>
      </c>
      <c r="I1544" s="211">
        <v>2024</v>
      </c>
      <c r="J1544" s="208">
        <v>3882</v>
      </c>
      <c r="K1544" s="159"/>
      <c r="L1544" s="204" t="s">
        <v>942</v>
      </c>
    </row>
    <row r="1545" spans="1:12" ht="15">
      <c r="A1545" s="159"/>
      <c r="B1545" s="143"/>
      <c r="C1545" s="205" t="s">
        <v>938</v>
      </c>
      <c r="D1545" s="162"/>
      <c r="E1545" s="163"/>
      <c r="F1545" s="159"/>
      <c r="G1545" s="164"/>
      <c r="H1545" s="204" t="s">
        <v>940</v>
      </c>
      <c r="I1545" s="211">
        <v>2024</v>
      </c>
      <c r="J1545" s="208">
        <v>4162</v>
      </c>
      <c r="K1545" s="159"/>
      <c r="L1545" s="204" t="s">
        <v>942</v>
      </c>
    </row>
    <row r="1546" spans="1:12" ht="15">
      <c r="A1546" s="159"/>
      <c r="B1546" s="143"/>
      <c r="C1546" s="205" t="s">
        <v>938</v>
      </c>
      <c r="D1546" s="162"/>
      <c r="E1546" s="163"/>
      <c r="F1546" s="159"/>
      <c r="G1546" s="164"/>
      <c r="H1546" s="204" t="s">
        <v>940</v>
      </c>
      <c r="I1546" s="211">
        <v>2024</v>
      </c>
      <c r="J1546" s="208">
        <v>5596</v>
      </c>
      <c r="K1546" s="159"/>
      <c r="L1546" s="204" t="s">
        <v>942</v>
      </c>
    </row>
    <row r="1547" spans="1:12" ht="15">
      <c r="A1547" s="159"/>
      <c r="B1547" s="143"/>
      <c r="C1547" s="205" t="s">
        <v>938</v>
      </c>
      <c r="D1547" s="162"/>
      <c r="E1547" s="163"/>
      <c r="F1547" s="159"/>
      <c r="G1547" s="164"/>
      <c r="H1547" s="204" t="s">
        <v>940</v>
      </c>
      <c r="I1547" s="211">
        <v>2024</v>
      </c>
      <c r="J1547" s="208">
        <v>3882</v>
      </c>
      <c r="K1547" s="159"/>
      <c r="L1547" s="204" t="s">
        <v>942</v>
      </c>
    </row>
    <row r="1548" spans="1:12" ht="15">
      <c r="A1548" s="159"/>
      <c r="B1548" s="143"/>
      <c r="C1548" s="205" t="s">
        <v>938</v>
      </c>
      <c r="D1548" s="162"/>
      <c r="E1548" s="163"/>
      <c r="F1548" s="159"/>
      <c r="G1548" s="164"/>
      <c r="H1548" s="204" t="s">
        <v>940</v>
      </c>
      <c r="I1548" s="211">
        <v>2024</v>
      </c>
      <c r="J1548" s="208">
        <v>3370</v>
      </c>
      <c r="K1548" s="159"/>
      <c r="L1548" s="204" t="s">
        <v>942</v>
      </c>
    </row>
    <row r="1549" spans="1:12" ht="15">
      <c r="A1549" s="159"/>
      <c r="B1549" s="143"/>
      <c r="C1549" s="205" t="s">
        <v>938</v>
      </c>
      <c r="D1549" s="162"/>
      <c r="E1549" s="163"/>
      <c r="F1549" s="159"/>
      <c r="G1549" s="164"/>
      <c r="H1549" s="204" t="s">
        <v>940</v>
      </c>
      <c r="I1549" s="211">
        <v>2024</v>
      </c>
      <c r="J1549" s="208">
        <v>3882</v>
      </c>
      <c r="K1549" s="159"/>
      <c r="L1549" s="204" t="s">
        <v>942</v>
      </c>
    </row>
    <row r="1550" spans="1:12" ht="15">
      <c r="A1550" s="159"/>
      <c r="B1550" s="143"/>
      <c r="C1550" s="205" t="s">
        <v>938</v>
      </c>
      <c r="D1550" s="162"/>
      <c r="E1550" s="163"/>
      <c r="F1550" s="159"/>
      <c r="G1550" s="164"/>
      <c r="H1550" s="204" t="s">
        <v>940</v>
      </c>
      <c r="I1550" s="211">
        <v>2024</v>
      </c>
      <c r="J1550" s="208">
        <v>3882</v>
      </c>
      <c r="K1550" s="159"/>
      <c r="L1550" s="204" t="s">
        <v>942</v>
      </c>
    </row>
    <row r="1551" spans="1:12" ht="15">
      <c r="A1551" s="159"/>
      <c r="B1551" s="143"/>
      <c r="C1551" s="205" t="s">
        <v>938</v>
      </c>
      <c r="D1551" s="162"/>
      <c r="E1551" s="163"/>
      <c r="F1551" s="159"/>
      <c r="G1551" s="164"/>
      <c r="H1551" s="204" t="s">
        <v>940</v>
      </c>
      <c r="I1551" s="211">
        <v>2024</v>
      </c>
      <c r="J1551" s="208">
        <v>3370</v>
      </c>
      <c r="K1551" s="159"/>
      <c r="L1551" s="204" t="s">
        <v>942</v>
      </c>
    </row>
    <row r="1552" spans="1:12" ht="15">
      <c r="A1552" s="159"/>
      <c r="B1552" s="143"/>
      <c r="C1552" s="205" t="s">
        <v>938</v>
      </c>
      <c r="D1552" s="162"/>
      <c r="E1552" s="163"/>
      <c r="F1552" s="159"/>
      <c r="G1552" s="164"/>
      <c r="H1552" s="204" t="s">
        <v>940</v>
      </c>
      <c r="I1552" s="211">
        <v>2024</v>
      </c>
      <c r="J1552" s="208">
        <v>4162</v>
      </c>
      <c r="K1552" s="159"/>
      <c r="L1552" s="204" t="s">
        <v>942</v>
      </c>
    </row>
    <row r="1553" spans="1:12" ht="15">
      <c r="A1553" s="159"/>
      <c r="B1553" s="143"/>
      <c r="C1553" s="205" t="s">
        <v>938</v>
      </c>
      <c r="D1553" s="162"/>
      <c r="E1553" s="163"/>
      <c r="F1553" s="159"/>
      <c r="G1553" s="164"/>
      <c r="H1553" s="204" t="s">
        <v>940</v>
      </c>
      <c r="I1553" s="211">
        <v>2024</v>
      </c>
      <c r="J1553" s="208">
        <v>3370</v>
      </c>
      <c r="K1553" s="159"/>
      <c r="L1553" s="204" t="s">
        <v>942</v>
      </c>
    </row>
    <row r="1554" spans="1:12" ht="15">
      <c r="A1554" s="159"/>
      <c r="B1554" s="143"/>
      <c r="C1554" s="205" t="s">
        <v>938</v>
      </c>
      <c r="D1554" s="162"/>
      <c r="E1554" s="163"/>
      <c r="F1554" s="159"/>
      <c r="G1554" s="164"/>
      <c r="H1554" s="204" t="s">
        <v>940</v>
      </c>
      <c r="I1554" s="211">
        <v>2024</v>
      </c>
      <c r="J1554" s="208">
        <v>4162</v>
      </c>
      <c r="K1554" s="159"/>
      <c r="L1554" s="204" t="s">
        <v>942</v>
      </c>
    </row>
    <row r="1555" spans="1:12" ht="15">
      <c r="A1555" s="159"/>
      <c r="B1555" s="143"/>
      <c r="C1555" s="205" t="s">
        <v>938</v>
      </c>
      <c r="D1555" s="162"/>
      <c r="E1555" s="163"/>
      <c r="F1555" s="159"/>
      <c r="G1555" s="164"/>
      <c r="H1555" s="204" t="s">
        <v>940</v>
      </c>
      <c r="I1555" s="211">
        <v>2024</v>
      </c>
      <c r="J1555" s="208">
        <v>4162</v>
      </c>
      <c r="K1555" s="159"/>
      <c r="L1555" s="204" t="s">
        <v>942</v>
      </c>
    </row>
    <row r="1556" spans="1:12" ht="15">
      <c r="A1556" s="159"/>
      <c r="B1556" s="143"/>
      <c r="C1556" s="205" t="s">
        <v>938</v>
      </c>
      <c r="D1556" s="162"/>
      <c r="E1556" s="163"/>
      <c r="F1556" s="159"/>
      <c r="G1556" s="164"/>
      <c r="H1556" s="204" t="s">
        <v>940</v>
      </c>
      <c r="I1556" s="211">
        <v>2024</v>
      </c>
      <c r="J1556" s="208">
        <v>4162</v>
      </c>
      <c r="K1556" s="159"/>
      <c r="L1556" s="204" t="s">
        <v>942</v>
      </c>
    </row>
    <row r="1557" spans="1:12" ht="15">
      <c r="A1557" s="159"/>
      <c r="B1557" s="143"/>
      <c r="C1557" s="205" t="s">
        <v>938</v>
      </c>
      <c r="D1557" s="162"/>
      <c r="E1557" s="163"/>
      <c r="F1557" s="159"/>
      <c r="G1557" s="164"/>
      <c r="H1557" s="204" t="s">
        <v>940</v>
      </c>
      <c r="I1557" s="211">
        <v>2024</v>
      </c>
      <c r="J1557" s="208">
        <v>3882</v>
      </c>
      <c r="K1557" s="159"/>
      <c r="L1557" s="204" t="s">
        <v>942</v>
      </c>
    </row>
    <row r="1558" spans="1:12" ht="15">
      <c r="A1558" s="159"/>
      <c r="B1558" s="143"/>
      <c r="C1558" s="205" t="s">
        <v>938</v>
      </c>
      <c r="D1558" s="162"/>
      <c r="E1558" s="163"/>
      <c r="F1558" s="159"/>
      <c r="G1558" s="164"/>
      <c r="H1558" s="204" t="s">
        <v>940</v>
      </c>
      <c r="I1558" s="211">
        <v>2024</v>
      </c>
      <c r="J1558" s="208">
        <v>3370</v>
      </c>
      <c r="K1558" s="159"/>
      <c r="L1558" s="204" t="s">
        <v>942</v>
      </c>
    </row>
    <row r="1559" spans="1:12" ht="15">
      <c r="A1559" s="159"/>
      <c r="B1559" s="143"/>
      <c r="C1559" s="205" t="s">
        <v>938</v>
      </c>
      <c r="D1559" s="162"/>
      <c r="E1559" s="163"/>
      <c r="F1559" s="159"/>
      <c r="G1559" s="164"/>
      <c r="H1559" s="204" t="s">
        <v>940</v>
      </c>
      <c r="I1559" s="211">
        <v>2024</v>
      </c>
      <c r="J1559" s="208">
        <v>3882</v>
      </c>
      <c r="K1559" s="159"/>
      <c r="L1559" s="204" t="s">
        <v>942</v>
      </c>
    </row>
    <row r="1560" spans="1:12" ht="15">
      <c r="A1560" s="159"/>
      <c r="B1560" s="143"/>
      <c r="C1560" s="205" t="s">
        <v>938</v>
      </c>
      <c r="D1560" s="162"/>
      <c r="E1560" s="163"/>
      <c r="F1560" s="159"/>
      <c r="G1560" s="164"/>
      <c r="H1560" s="204" t="s">
        <v>940</v>
      </c>
      <c r="I1560" s="211">
        <v>2024</v>
      </c>
      <c r="J1560" s="208">
        <v>3882</v>
      </c>
      <c r="K1560" s="159"/>
      <c r="L1560" s="204" t="s">
        <v>942</v>
      </c>
    </row>
    <row r="1561" spans="1:12" ht="15">
      <c r="A1561" s="159"/>
      <c r="B1561" s="143"/>
      <c r="C1561" s="205" t="s">
        <v>938</v>
      </c>
      <c r="D1561" s="162"/>
      <c r="E1561" s="163"/>
      <c r="F1561" s="159"/>
      <c r="G1561" s="164"/>
      <c r="H1561" s="204" t="s">
        <v>940</v>
      </c>
      <c r="I1561" s="211">
        <v>2024</v>
      </c>
      <c r="J1561" s="208">
        <v>4779</v>
      </c>
      <c r="K1561" s="159"/>
      <c r="L1561" s="204" t="s">
        <v>942</v>
      </c>
    </row>
    <row r="1562" spans="1:12" ht="15">
      <c r="A1562" s="159"/>
      <c r="B1562" s="143"/>
      <c r="C1562" s="205" t="s">
        <v>938</v>
      </c>
      <c r="D1562" s="162"/>
      <c r="E1562" s="163"/>
      <c r="F1562" s="159"/>
      <c r="G1562" s="164"/>
      <c r="H1562" s="204" t="s">
        <v>940</v>
      </c>
      <c r="I1562" s="211">
        <v>2024</v>
      </c>
      <c r="J1562" s="208">
        <v>3882</v>
      </c>
      <c r="K1562" s="159"/>
      <c r="L1562" s="204" t="s">
        <v>942</v>
      </c>
    </row>
    <row r="1563" spans="1:12" ht="15">
      <c r="A1563" s="159"/>
      <c r="B1563" s="143"/>
      <c r="C1563" s="205" t="s">
        <v>938</v>
      </c>
      <c r="D1563" s="162"/>
      <c r="E1563" s="163"/>
      <c r="F1563" s="159"/>
      <c r="G1563" s="164"/>
      <c r="H1563" s="204" t="s">
        <v>940</v>
      </c>
      <c r="I1563" s="211">
        <v>2024</v>
      </c>
      <c r="J1563" s="208">
        <v>3882</v>
      </c>
      <c r="K1563" s="159"/>
      <c r="L1563" s="204" t="s">
        <v>942</v>
      </c>
    </row>
    <row r="1564" spans="1:12" ht="15">
      <c r="A1564" s="159"/>
      <c r="B1564" s="143"/>
      <c r="C1564" s="205" t="s">
        <v>938</v>
      </c>
      <c r="D1564" s="162"/>
      <c r="E1564" s="163"/>
      <c r="F1564" s="159"/>
      <c r="G1564" s="164"/>
      <c r="H1564" s="204" t="s">
        <v>940</v>
      </c>
      <c r="I1564" s="211">
        <v>2024</v>
      </c>
      <c r="J1564" s="208">
        <v>3882</v>
      </c>
      <c r="K1564" s="159"/>
      <c r="L1564" s="204" t="s">
        <v>942</v>
      </c>
    </row>
    <row r="1565" spans="1:12" ht="15">
      <c r="A1565" s="159"/>
      <c r="B1565" s="143"/>
      <c r="C1565" s="205" t="s">
        <v>938</v>
      </c>
      <c r="D1565" s="162"/>
      <c r="E1565" s="163"/>
      <c r="F1565" s="159"/>
      <c r="G1565" s="164"/>
      <c r="H1565" s="204" t="s">
        <v>940</v>
      </c>
      <c r="I1565" s="211">
        <v>2024</v>
      </c>
      <c r="J1565" s="208">
        <v>3882</v>
      </c>
      <c r="K1565" s="159"/>
      <c r="L1565" s="204" t="s">
        <v>942</v>
      </c>
    </row>
    <row r="1566" spans="1:12" ht="15">
      <c r="A1566" s="159"/>
      <c r="B1566" s="143"/>
      <c r="C1566" s="205" t="s">
        <v>938</v>
      </c>
      <c r="D1566" s="162"/>
      <c r="E1566" s="163"/>
      <c r="F1566" s="159"/>
      <c r="G1566" s="164"/>
      <c r="H1566" s="204" t="s">
        <v>940</v>
      </c>
      <c r="I1566" s="211">
        <v>2024</v>
      </c>
      <c r="J1566" s="208">
        <v>4162</v>
      </c>
      <c r="K1566" s="159"/>
      <c r="L1566" s="204" t="s">
        <v>942</v>
      </c>
    </row>
    <row r="1567" spans="1:12" ht="15">
      <c r="A1567" s="159"/>
      <c r="B1567" s="143"/>
      <c r="C1567" s="205" t="s">
        <v>938</v>
      </c>
      <c r="D1567" s="162"/>
      <c r="E1567" s="163"/>
      <c r="F1567" s="159"/>
      <c r="G1567" s="164"/>
      <c r="H1567" s="204" t="s">
        <v>940</v>
      </c>
      <c r="I1567" s="211">
        <v>2024</v>
      </c>
      <c r="J1567" s="208">
        <v>3370</v>
      </c>
      <c r="K1567" s="159"/>
      <c r="L1567" s="204" t="s">
        <v>942</v>
      </c>
    </row>
    <row r="1568" spans="1:12" ht="15">
      <c r="A1568" s="159"/>
      <c r="B1568" s="143"/>
      <c r="C1568" s="205" t="s">
        <v>938</v>
      </c>
      <c r="D1568" s="162"/>
      <c r="E1568" s="163"/>
      <c r="F1568" s="159"/>
      <c r="G1568" s="164"/>
      <c r="H1568" s="204" t="s">
        <v>940</v>
      </c>
      <c r="I1568" s="211">
        <v>2024</v>
      </c>
      <c r="J1568" s="208">
        <v>4162</v>
      </c>
      <c r="K1568" s="159"/>
      <c r="L1568" s="204" t="s">
        <v>942</v>
      </c>
    </row>
    <row r="1569" spans="1:12" ht="15">
      <c r="A1569" s="159"/>
      <c r="B1569" s="143"/>
      <c r="C1569" s="205" t="s">
        <v>938</v>
      </c>
      <c r="D1569" s="162"/>
      <c r="E1569" s="163"/>
      <c r="F1569" s="159"/>
      <c r="G1569" s="164"/>
      <c r="H1569" s="204" t="s">
        <v>940</v>
      </c>
      <c r="I1569" s="211">
        <v>2024</v>
      </c>
      <c r="J1569" s="208">
        <v>4162</v>
      </c>
      <c r="K1569" s="159"/>
      <c r="L1569" s="204" t="s">
        <v>942</v>
      </c>
    </row>
    <row r="1570" spans="1:12" ht="15">
      <c r="A1570" s="159"/>
      <c r="B1570" s="143"/>
      <c r="C1570" s="205" t="s">
        <v>938</v>
      </c>
      <c r="D1570" s="162"/>
      <c r="E1570" s="163"/>
      <c r="F1570" s="159"/>
      <c r="G1570" s="164"/>
      <c r="H1570" s="204" t="s">
        <v>940</v>
      </c>
      <c r="I1570" s="211">
        <v>2024</v>
      </c>
      <c r="J1570" s="208">
        <v>3882</v>
      </c>
      <c r="K1570" s="159"/>
      <c r="L1570" s="204" t="s">
        <v>942</v>
      </c>
    </row>
    <row r="1571" spans="1:12" ht="15">
      <c r="A1571" s="159"/>
      <c r="B1571" s="143"/>
      <c r="C1571" s="205" t="s">
        <v>938</v>
      </c>
      <c r="D1571" s="162"/>
      <c r="E1571" s="163"/>
      <c r="F1571" s="159"/>
      <c r="G1571" s="164"/>
      <c r="H1571" s="204" t="s">
        <v>940</v>
      </c>
      <c r="I1571" s="211">
        <v>2024</v>
      </c>
      <c r="J1571" s="208">
        <v>4779</v>
      </c>
      <c r="K1571" s="159"/>
      <c r="L1571" s="204" t="s">
        <v>942</v>
      </c>
    </row>
    <row r="1572" spans="1:12" ht="15">
      <c r="A1572" s="159"/>
      <c r="B1572" s="143"/>
      <c r="C1572" s="205" t="s">
        <v>938</v>
      </c>
      <c r="D1572" s="162"/>
      <c r="E1572" s="163"/>
      <c r="F1572" s="159"/>
      <c r="G1572" s="164"/>
      <c r="H1572" s="204" t="s">
        <v>940</v>
      </c>
      <c r="I1572" s="211">
        <v>2024</v>
      </c>
      <c r="J1572" s="208">
        <v>4162</v>
      </c>
      <c r="K1572" s="159"/>
      <c r="L1572" s="204" t="s">
        <v>942</v>
      </c>
    </row>
    <row r="1573" spans="1:12" ht="15">
      <c r="A1573" s="159"/>
      <c r="B1573" s="143"/>
      <c r="C1573" s="205" t="s">
        <v>938</v>
      </c>
      <c r="D1573" s="162"/>
      <c r="E1573" s="163"/>
      <c r="F1573" s="159"/>
      <c r="G1573" s="164"/>
      <c r="H1573" s="204" t="s">
        <v>940</v>
      </c>
      <c r="I1573" s="211">
        <v>2024</v>
      </c>
      <c r="J1573" s="208">
        <v>3882</v>
      </c>
      <c r="K1573" s="159"/>
      <c r="L1573" s="204" t="s">
        <v>942</v>
      </c>
    </row>
    <row r="1574" spans="1:12" ht="15">
      <c r="A1574" s="159"/>
      <c r="B1574" s="143"/>
      <c r="C1574" s="205" t="s">
        <v>938</v>
      </c>
      <c r="D1574" s="162"/>
      <c r="E1574" s="163"/>
      <c r="F1574" s="159"/>
      <c r="G1574" s="164"/>
      <c r="H1574" s="204" t="s">
        <v>940</v>
      </c>
      <c r="I1574" s="211">
        <v>2024</v>
      </c>
      <c r="J1574" s="208">
        <v>5290</v>
      </c>
      <c r="K1574" s="159"/>
      <c r="L1574" s="204" t="s">
        <v>942</v>
      </c>
    </row>
    <row r="1575" spans="1:12" ht="15">
      <c r="A1575" s="159"/>
      <c r="B1575" s="143"/>
      <c r="C1575" s="205" t="s">
        <v>938</v>
      </c>
      <c r="D1575" s="162"/>
      <c r="E1575" s="163"/>
      <c r="F1575" s="159"/>
      <c r="G1575" s="164"/>
      <c r="H1575" s="204" t="s">
        <v>940</v>
      </c>
      <c r="I1575" s="211">
        <v>2024</v>
      </c>
      <c r="J1575" s="208">
        <v>3882</v>
      </c>
      <c r="K1575" s="159"/>
      <c r="L1575" s="204" t="s">
        <v>942</v>
      </c>
    </row>
    <row r="1576" spans="1:12" ht="15">
      <c r="A1576" s="159"/>
      <c r="B1576" s="143"/>
      <c r="C1576" s="205" t="s">
        <v>938</v>
      </c>
      <c r="D1576" s="162"/>
      <c r="E1576" s="163"/>
      <c r="F1576" s="159"/>
      <c r="G1576" s="164"/>
      <c r="H1576" s="204" t="s">
        <v>940</v>
      </c>
      <c r="I1576" s="211">
        <v>2024</v>
      </c>
      <c r="J1576" s="208">
        <v>3882</v>
      </c>
      <c r="K1576" s="159"/>
      <c r="L1576" s="204" t="s">
        <v>942</v>
      </c>
    </row>
    <row r="1577" spans="1:12" ht="15">
      <c r="A1577" s="159"/>
      <c r="B1577" s="143"/>
      <c r="C1577" s="205" t="s">
        <v>938</v>
      </c>
      <c r="D1577" s="162"/>
      <c r="E1577" s="163"/>
      <c r="F1577" s="159"/>
      <c r="G1577" s="164"/>
      <c r="H1577" s="204" t="s">
        <v>940</v>
      </c>
      <c r="I1577" s="211">
        <v>2024</v>
      </c>
      <c r="J1577" s="208">
        <v>4162</v>
      </c>
      <c r="K1577" s="159"/>
      <c r="L1577" s="204" t="s">
        <v>942</v>
      </c>
    </row>
    <row r="1578" spans="1:12" ht="15">
      <c r="A1578" s="159"/>
      <c r="B1578" s="143"/>
      <c r="C1578" s="205" t="s">
        <v>938</v>
      </c>
      <c r="D1578" s="162"/>
      <c r="E1578" s="163"/>
      <c r="F1578" s="159"/>
      <c r="G1578" s="164"/>
      <c r="H1578" s="204" t="s">
        <v>940</v>
      </c>
      <c r="I1578" s="211">
        <v>2024</v>
      </c>
      <c r="J1578" s="208">
        <v>3370</v>
      </c>
      <c r="K1578" s="159"/>
      <c r="L1578" s="204" t="s">
        <v>942</v>
      </c>
    </row>
    <row r="1579" spans="1:12" ht="15">
      <c r="A1579" s="159"/>
      <c r="B1579" s="143"/>
      <c r="C1579" s="205" t="s">
        <v>938</v>
      </c>
      <c r="D1579" s="162"/>
      <c r="E1579" s="163"/>
      <c r="F1579" s="159"/>
      <c r="G1579" s="164"/>
      <c r="H1579" s="204" t="s">
        <v>940</v>
      </c>
      <c r="I1579" s="211">
        <v>2024</v>
      </c>
      <c r="J1579" s="208">
        <v>4162</v>
      </c>
      <c r="K1579" s="159"/>
      <c r="L1579" s="204" t="s">
        <v>942</v>
      </c>
    </row>
    <row r="1580" spans="1:12" ht="15">
      <c r="A1580" s="159"/>
      <c r="B1580" s="143"/>
      <c r="C1580" s="205" t="s">
        <v>938</v>
      </c>
      <c r="D1580" s="162"/>
      <c r="E1580" s="163"/>
      <c r="F1580" s="159"/>
      <c r="G1580" s="164"/>
      <c r="H1580" s="204" t="s">
        <v>940</v>
      </c>
      <c r="I1580" s="211">
        <v>2024</v>
      </c>
      <c r="J1580" s="208">
        <v>3882</v>
      </c>
      <c r="K1580" s="159"/>
      <c r="L1580" s="204" t="s">
        <v>942</v>
      </c>
    </row>
    <row r="1581" spans="1:12" ht="15">
      <c r="A1581" s="159"/>
      <c r="B1581" s="143"/>
      <c r="C1581" s="205" t="s">
        <v>938</v>
      </c>
      <c r="D1581" s="162"/>
      <c r="E1581" s="163"/>
      <c r="F1581" s="159"/>
      <c r="G1581" s="164"/>
      <c r="H1581" s="204" t="s">
        <v>940</v>
      </c>
      <c r="I1581" s="211">
        <v>2024</v>
      </c>
      <c r="J1581" s="208">
        <v>3370</v>
      </c>
      <c r="K1581" s="159"/>
      <c r="L1581" s="204" t="s">
        <v>942</v>
      </c>
    </row>
    <row r="1582" spans="1:12" ht="15">
      <c r="A1582" s="159"/>
      <c r="B1582" s="143"/>
      <c r="C1582" s="205" t="s">
        <v>938</v>
      </c>
      <c r="D1582" s="162"/>
      <c r="E1582" s="163"/>
      <c r="F1582" s="159"/>
      <c r="G1582" s="164"/>
      <c r="H1582" s="204" t="s">
        <v>940</v>
      </c>
      <c r="I1582" s="211">
        <v>2024</v>
      </c>
      <c r="J1582" s="208">
        <v>3882</v>
      </c>
      <c r="K1582" s="159"/>
      <c r="L1582" s="204" t="s">
        <v>942</v>
      </c>
    </row>
    <row r="1583" spans="1:12" ht="15">
      <c r="A1583" s="159"/>
      <c r="B1583" s="143"/>
      <c r="C1583" s="205" t="s">
        <v>938</v>
      </c>
      <c r="D1583" s="162"/>
      <c r="E1583" s="163"/>
      <c r="F1583" s="159"/>
      <c r="G1583" s="164"/>
      <c r="H1583" s="204" t="s">
        <v>940</v>
      </c>
      <c r="I1583" s="211">
        <v>2024</v>
      </c>
      <c r="J1583" s="208">
        <v>3882</v>
      </c>
      <c r="K1583" s="159"/>
      <c r="L1583" s="204" t="s">
        <v>942</v>
      </c>
    </row>
    <row r="1584" spans="1:12" ht="15">
      <c r="A1584" s="159"/>
      <c r="B1584" s="143"/>
      <c r="C1584" s="205" t="s">
        <v>938</v>
      </c>
      <c r="D1584" s="162"/>
      <c r="E1584" s="163"/>
      <c r="F1584" s="159"/>
      <c r="G1584" s="164"/>
      <c r="H1584" s="204" t="s">
        <v>940</v>
      </c>
      <c r="I1584" s="211">
        <v>2024</v>
      </c>
      <c r="J1584" s="208">
        <v>3370</v>
      </c>
      <c r="K1584" s="159"/>
      <c r="L1584" s="204" t="s">
        <v>942</v>
      </c>
    </row>
    <row r="1585" spans="1:12" ht="15">
      <c r="A1585" s="159"/>
      <c r="B1585" s="143"/>
      <c r="C1585" s="205" t="s">
        <v>938</v>
      </c>
      <c r="D1585" s="162"/>
      <c r="E1585" s="163"/>
      <c r="F1585" s="159"/>
      <c r="G1585" s="164"/>
      <c r="H1585" s="204" t="s">
        <v>940</v>
      </c>
      <c r="I1585" s="211">
        <v>2024</v>
      </c>
      <c r="J1585" s="208">
        <v>3370</v>
      </c>
      <c r="K1585" s="159"/>
      <c r="L1585" s="204" t="s">
        <v>942</v>
      </c>
    </row>
    <row r="1586" spans="1:12" ht="15">
      <c r="A1586" s="159"/>
      <c r="B1586" s="143"/>
      <c r="C1586" s="205" t="s">
        <v>938</v>
      </c>
      <c r="D1586" s="162"/>
      <c r="E1586" s="163"/>
      <c r="F1586" s="159"/>
      <c r="G1586" s="164"/>
      <c r="H1586" s="204" t="s">
        <v>940</v>
      </c>
      <c r="I1586" s="211">
        <v>2024</v>
      </c>
      <c r="J1586" s="208">
        <v>3882</v>
      </c>
      <c r="K1586" s="159"/>
      <c r="L1586" s="204" t="s">
        <v>942</v>
      </c>
    </row>
    <row r="1587" spans="1:12" ht="15">
      <c r="A1587" s="159"/>
      <c r="B1587" s="143"/>
      <c r="C1587" s="205" t="s">
        <v>938</v>
      </c>
      <c r="D1587" s="162"/>
      <c r="E1587" s="163"/>
      <c r="F1587" s="159"/>
      <c r="G1587" s="164"/>
      <c r="H1587" s="204" t="s">
        <v>940</v>
      </c>
      <c r="I1587" s="211">
        <v>2024</v>
      </c>
      <c r="J1587" s="208">
        <v>3882</v>
      </c>
      <c r="K1587" s="159"/>
      <c r="L1587" s="204" t="s">
        <v>942</v>
      </c>
    </row>
    <row r="1588" spans="1:12" ht="15">
      <c r="A1588" s="159"/>
      <c r="B1588" s="143"/>
      <c r="C1588" s="205" t="s">
        <v>938</v>
      </c>
      <c r="D1588" s="162"/>
      <c r="E1588" s="163"/>
      <c r="F1588" s="159"/>
      <c r="G1588" s="164"/>
      <c r="H1588" s="204" t="s">
        <v>940</v>
      </c>
      <c r="I1588" s="211">
        <v>2024</v>
      </c>
      <c r="J1588" s="208">
        <v>4162</v>
      </c>
      <c r="K1588" s="159"/>
      <c r="L1588" s="204" t="s">
        <v>942</v>
      </c>
    </row>
    <row r="1589" spans="1:12" ht="15">
      <c r="A1589" s="159"/>
      <c r="B1589" s="143"/>
      <c r="C1589" s="205" t="s">
        <v>938</v>
      </c>
      <c r="D1589" s="162"/>
      <c r="E1589" s="163"/>
      <c r="F1589" s="159"/>
      <c r="G1589" s="164"/>
      <c r="H1589" s="204" t="s">
        <v>940</v>
      </c>
      <c r="I1589" s="211">
        <v>2024</v>
      </c>
      <c r="J1589" s="208">
        <v>3882</v>
      </c>
      <c r="K1589" s="159"/>
      <c r="L1589" s="204" t="s">
        <v>942</v>
      </c>
    </row>
    <row r="1590" spans="1:12" ht="15">
      <c r="A1590" s="159"/>
      <c r="B1590" s="143"/>
      <c r="C1590" s="205" t="s">
        <v>938</v>
      </c>
      <c r="D1590" s="162"/>
      <c r="E1590" s="163"/>
      <c r="F1590" s="159"/>
      <c r="G1590" s="164"/>
      <c r="H1590" s="204" t="s">
        <v>940</v>
      </c>
      <c r="I1590" s="211">
        <v>2024</v>
      </c>
      <c r="J1590" s="208">
        <v>3882</v>
      </c>
      <c r="K1590" s="159"/>
      <c r="L1590" s="204" t="s">
        <v>942</v>
      </c>
    </row>
    <row r="1591" spans="1:12" ht="15">
      <c r="A1591" s="159"/>
      <c r="B1591" s="143"/>
      <c r="C1591" s="205" t="s">
        <v>938</v>
      </c>
      <c r="D1591" s="162"/>
      <c r="E1591" s="163"/>
      <c r="F1591" s="159"/>
      <c r="G1591" s="164"/>
      <c r="H1591" s="204" t="s">
        <v>940</v>
      </c>
      <c r="I1591" s="211">
        <v>2024</v>
      </c>
      <c r="J1591" s="208">
        <v>4162</v>
      </c>
      <c r="K1591" s="159"/>
      <c r="L1591" s="204" t="s">
        <v>942</v>
      </c>
    </row>
    <row r="1592" spans="1:12" ht="15">
      <c r="A1592" s="159"/>
      <c r="B1592" s="143"/>
      <c r="C1592" s="205" t="s">
        <v>938</v>
      </c>
      <c r="D1592" s="162"/>
      <c r="E1592" s="163"/>
      <c r="F1592" s="159"/>
      <c r="G1592" s="164"/>
      <c r="H1592" s="204" t="s">
        <v>940</v>
      </c>
      <c r="I1592" s="211">
        <v>2024</v>
      </c>
      <c r="J1592" s="208">
        <v>2854</v>
      </c>
      <c r="K1592" s="159"/>
      <c r="L1592" s="204" t="s">
        <v>942</v>
      </c>
    </row>
    <row r="1593" spans="1:12" ht="15">
      <c r="A1593" s="159"/>
      <c r="B1593" s="143"/>
      <c r="C1593" s="205" t="s">
        <v>938</v>
      </c>
      <c r="D1593" s="162"/>
      <c r="E1593" s="163"/>
      <c r="F1593" s="159"/>
      <c r="G1593" s="164"/>
      <c r="H1593" s="204" t="s">
        <v>940</v>
      </c>
      <c r="I1593" s="211">
        <v>2024</v>
      </c>
      <c r="J1593" s="208">
        <v>3882</v>
      </c>
      <c r="K1593" s="159"/>
      <c r="L1593" s="204" t="s">
        <v>942</v>
      </c>
    </row>
    <row r="1594" spans="1:12" ht="15">
      <c r="A1594" s="159"/>
      <c r="B1594" s="143"/>
      <c r="C1594" s="205" t="s">
        <v>938</v>
      </c>
      <c r="D1594" s="162"/>
      <c r="E1594" s="163"/>
      <c r="F1594" s="159"/>
      <c r="G1594" s="164"/>
      <c r="H1594" s="204" t="s">
        <v>940</v>
      </c>
      <c r="I1594" s="211">
        <v>2024</v>
      </c>
      <c r="J1594" s="208">
        <v>4162</v>
      </c>
      <c r="K1594" s="159"/>
      <c r="L1594" s="204" t="s">
        <v>942</v>
      </c>
    </row>
    <row r="1595" spans="1:12" ht="15">
      <c r="A1595" s="159"/>
      <c r="B1595" s="143"/>
      <c r="C1595" s="205" t="s">
        <v>938</v>
      </c>
      <c r="D1595" s="162"/>
      <c r="E1595" s="163"/>
      <c r="F1595" s="159"/>
      <c r="G1595" s="164"/>
      <c r="H1595" s="204" t="s">
        <v>940</v>
      </c>
      <c r="I1595" s="211">
        <v>2024</v>
      </c>
      <c r="J1595" s="208">
        <v>5290</v>
      </c>
      <c r="K1595" s="159"/>
      <c r="L1595" s="204" t="s">
        <v>942</v>
      </c>
    </row>
    <row r="1596" spans="1:12" ht="15">
      <c r="A1596" s="159"/>
      <c r="B1596" s="143"/>
      <c r="C1596" s="205" t="s">
        <v>938</v>
      </c>
      <c r="D1596" s="162"/>
      <c r="E1596" s="163"/>
      <c r="F1596" s="159"/>
      <c r="G1596" s="164"/>
      <c r="H1596" s="204" t="s">
        <v>940</v>
      </c>
      <c r="I1596" s="211">
        <v>2024</v>
      </c>
      <c r="J1596" s="208">
        <v>3882</v>
      </c>
      <c r="K1596" s="159"/>
      <c r="L1596" s="204" t="s">
        <v>942</v>
      </c>
    </row>
    <row r="1597" spans="1:12" ht="15">
      <c r="A1597" s="159"/>
      <c r="B1597" s="143"/>
      <c r="C1597" s="205" t="s">
        <v>938</v>
      </c>
      <c r="D1597" s="162"/>
      <c r="E1597" s="163"/>
      <c r="F1597" s="159"/>
      <c r="G1597" s="164"/>
      <c r="H1597" s="204" t="s">
        <v>940</v>
      </c>
      <c r="I1597" s="211">
        <v>2024</v>
      </c>
      <c r="J1597" s="208">
        <v>4779</v>
      </c>
      <c r="K1597" s="159"/>
      <c r="L1597" s="204" t="s">
        <v>942</v>
      </c>
    </row>
    <row r="1598" spans="1:12" ht="15">
      <c r="A1598" s="159"/>
      <c r="B1598" s="143"/>
      <c r="C1598" s="205" t="s">
        <v>938</v>
      </c>
      <c r="D1598" s="162"/>
      <c r="E1598" s="163"/>
      <c r="F1598" s="159"/>
      <c r="G1598" s="164"/>
      <c r="H1598" s="204" t="s">
        <v>940</v>
      </c>
      <c r="I1598" s="211">
        <v>2024</v>
      </c>
      <c r="J1598" s="208">
        <v>3370</v>
      </c>
      <c r="K1598" s="159"/>
      <c r="L1598" s="204" t="s">
        <v>942</v>
      </c>
    </row>
    <row r="1599" spans="1:12" ht="15">
      <c r="A1599" s="159"/>
      <c r="B1599" s="143"/>
      <c r="C1599" s="205" t="s">
        <v>938</v>
      </c>
      <c r="D1599" s="162"/>
      <c r="E1599" s="163"/>
      <c r="F1599" s="159"/>
      <c r="G1599" s="164"/>
      <c r="H1599" s="204" t="s">
        <v>940</v>
      </c>
      <c r="I1599" s="211">
        <v>2024</v>
      </c>
      <c r="J1599" s="208">
        <v>3882</v>
      </c>
      <c r="K1599" s="159"/>
      <c r="L1599" s="204" t="s">
        <v>942</v>
      </c>
    </row>
    <row r="1600" spans="1:12" ht="15">
      <c r="A1600" s="159"/>
      <c r="B1600" s="143"/>
      <c r="C1600" s="205" t="s">
        <v>938</v>
      </c>
      <c r="D1600" s="162"/>
      <c r="E1600" s="163"/>
      <c r="F1600" s="159"/>
      <c r="G1600" s="164"/>
      <c r="H1600" s="204" t="s">
        <v>940</v>
      </c>
      <c r="I1600" s="211">
        <v>2024</v>
      </c>
      <c r="J1600" s="208">
        <v>3882</v>
      </c>
      <c r="K1600" s="159"/>
      <c r="L1600" s="204" t="s">
        <v>942</v>
      </c>
    </row>
    <row r="1601" spans="1:12" ht="15">
      <c r="A1601" s="159"/>
      <c r="B1601" s="143"/>
      <c r="C1601" s="205" t="s">
        <v>938</v>
      </c>
      <c r="D1601" s="162"/>
      <c r="E1601" s="163"/>
      <c r="F1601" s="159"/>
      <c r="G1601" s="164"/>
      <c r="H1601" s="204" t="s">
        <v>940</v>
      </c>
      <c r="I1601" s="211">
        <v>2024</v>
      </c>
      <c r="J1601" s="208">
        <v>4162</v>
      </c>
      <c r="K1601" s="159"/>
      <c r="L1601" s="204" t="s">
        <v>942</v>
      </c>
    </row>
    <row r="1602" spans="1:12" ht="15">
      <c r="A1602" s="159"/>
      <c r="B1602" s="143"/>
      <c r="C1602" s="205" t="s">
        <v>938</v>
      </c>
      <c r="D1602" s="162"/>
      <c r="E1602" s="163"/>
      <c r="F1602" s="159"/>
      <c r="G1602" s="164"/>
      <c r="H1602" s="204" t="s">
        <v>940</v>
      </c>
      <c r="I1602" s="211">
        <v>2024</v>
      </c>
      <c r="J1602" s="208">
        <v>3370</v>
      </c>
      <c r="K1602" s="159"/>
      <c r="L1602" s="204" t="s">
        <v>942</v>
      </c>
    </row>
    <row r="1603" spans="1:12" ht="15">
      <c r="A1603" s="159"/>
      <c r="B1603" s="143"/>
      <c r="C1603" s="205" t="s">
        <v>938</v>
      </c>
      <c r="D1603" s="162"/>
      <c r="E1603" s="163"/>
      <c r="F1603" s="159"/>
      <c r="G1603" s="164"/>
      <c r="H1603" s="204" t="s">
        <v>940</v>
      </c>
      <c r="I1603" s="211">
        <v>2024</v>
      </c>
      <c r="J1603" s="208">
        <v>3370</v>
      </c>
      <c r="K1603" s="159"/>
      <c r="L1603" s="204" t="s">
        <v>942</v>
      </c>
    </row>
    <row r="1604" spans="1:12" ht="15">
      <c r="A1604" s="159"/>
      <c r="B1604" s="143"/>
      <c r="C1604" s="205" t="s">
        <v>938</v>
      </c>
      <c r="D1604" s="162"/>
      <c r="E1604" s="163"/>
      <c r="F1604" s="159"/>
      <c r="G1604" s="164"/>
      <c r="H1604" s="204" t="s">
        <v>940</v>
      </c>
      <c r="I1604" s="211">
        <v>2024</v>
      </c>
      <c r="J1604" s="208">
        <v>5596</v>
      </c>
      <c r="K1604" s="159"/>
      <c r="L1604" s="204" t="s">
        <v>942</v>
      </c>
    </row>
    <row r="1605" spans="1:12" ht="15">
      <c r="A1605" s="159"/>
      <c r="B1605" s="143"/>
      <c r="C1605" s="205" t="s">
        <v>938</v>
      </c>
      <c r="D1605" s="162"/>
      <c r="E1605" s="163"/>
      <c r="F1605" s="159"/>
      <c r="G1605" s="164"/>
      <c r="H1605" s="204" t="s">
        <v>940</v>
      </c>
      <c r="I1605" s="211">
        <v>2024</v>
      </c>
      <c r="J1605" s="208">
        <v>3882</v>
      </c>
      <c r="K1605" s="159"/>
      <c r="L1605" s="204" t="s">
        <v>942</v>
      </c>
    </row>
    <row r="1606" spans="1:12" ht="15">
      <c r="A1606" s="159"/>
      <c r="B1606" s="143"/>
      <c r="C1606" s="205" t="s">
        <v>938</v>
      </c>
      <c r="D1606" s="162"/>
      <c r="E1606" s="163"/>
      <c r="F1606" s="159"/>
      <c r="G1606" s="164"/>
      <c r="H1606" s="204" t="s">
        <v>940</v>
      </c>
      <c r="I1606" s="211">
        <v>2024</v>
      </c>
      <c r="J1606" s="208">
        <v>3882</v>
      </c>
      <c r="K1606" s="159"/>
      <c r="L1606" s="204" t="s">
        <v>942</v>
      </c>
    </row>
    <row r="1607" spans="1:12" ht="15">
      <c r="A1607" s="159"/>
      <c r="B1607" s="143"/>
      <c r="C1607" s="205" t="s">
        <v>938</v>
      </c>
      <c r="D1607" s="162"/>
      <c r="E1607" s="163"/>
      <c r="F1607" s="159"/>
      <c r="G1607" s="164"/>
      <c r="H1607" s="204" t="s">
        <v>940</v>
      </c>
      <c r="I1607" s="211">
        <v>2024</v>
      </c>
      <c r="J1607" s="208">
        <v>3370</v>
      </c>
      <c r="K1607" s="159"/>
      <c r="L1607" s="204" t="s">
        <v>942</v>
      </c>
    </row>
    <row r="1608" spans="1:12" ht="15">
      <c r="A1608" s="159"/>
      <c r="B1608" s="143"/>
      <c r="C1608" s="205" t="s">
        <v>938</v>
      </c>
      <c r="D1608" s="162"/>
      <c r="E1608" s="163"/>
      <c r="F1608" s="159"/>
      <c r="G1608" s="164"/>
      <c r="H1608" s="204" t="s">
        <v>940</v>
      </c>
      <c r="I1608" s="211">
        <v>2024</v>
      </c>
      <c r="J1608" s="208">
        <v>4162</v>
      </c>
      <c r="K1608" s="159"/>
      <c r="L1608" s="204" t="s">
        <v>942</v>
      </c>
    </row>
    <row r="1609" spans="1:12" ht="15">
      <c r="A1609" s="159"/>
      <c r="B1609" s="143"/>
      <c r="C1609" s="205" t="s">
        <v>938</v>
      </c>
      <c r="D1609" s="162"/>
      <c r="E1609" s="163"/>
      <c r="F1609" s="159"/>
      <c r="G1609" s="164"/>
      <c r="H1609" s="204" t="s">
        <v>940</v>
      </c>
      <c r="I1609" s="211">
        <v>2024</v>
      </c>
      <c r="J1609" s="208">
        <v>3370</v>
      </c>
      <c r="K1609" s="159"/>
      <c r="L1609" s="204" t="s">
        <v>942</v>
      </c>
    </row>
    <row r="1610" spans="1:12" ht="15">
      <c r="A1610" s="159"/>
      <c r="B1610" s="143"/>
      <c r="C1610" s="205" t="s">
        <v>938</v>
      </c>
      <c r="D1610" s="162"/>
      <c r="E1610" s="163"/>
      <c r="F1610" s="159"/>
      <c r="G1610" s="164"/>
      <c r="H1610" s="204" t="s">
        <v>940</v>
      </c>
      <c r="I1610" s="211">
        <v>2024</v>
      </c>
      <c r="J1610" s="208">
        <v>4779</v>
      </c>
      <c r="K1610" s="159"/>
      <c r="L1610" s="204" t="s">
        <v>942</v>
      </c>
    </row>
    <row r="1611" spans="1:12" ht="15">
      <c r="A1611" s="159"/>
      <c r="B1611" s="143"/>
      <c r="C1611" s="205" t="s">
        <v>938</v>
      </c>
      <c r="D1611" s="162"/>
      <c r="E1611" s="163"/>
      <c r="F1611" s="159"/>
      <c r="G1611" s="164"/>
      <c r="H1611" s="204" t="s">
        <v>940</v>
      </c>
      <c r="I1611" s="211">
        <v>2024</v>
      </c>
      <c r="J1611" s="208">
        <v>3882</v>
      </c>
      <c r="K1611" s="159"/>
      <c r="L1611" s="204" t="s">
        <v>942</v>
      </c>
    </row>
    <row r="1612" spans="1:12" ht="15">
      <c r="A1612" s="159"/>
      <c r="B1612" s="143"/>
      <c r="C1612" s="205" t="s">
        <v>938</v>
      </c>
      <c r="D1612" s="162"/>
      <c r="E1612" s="163"/>
      <c r="F1612" s="159"/>
      <c r="G1612" s="164"/>
      <c r="H1612" s="204" t="s">
        <v>940</v>
      </c>
      <c r="I1612" s="211">
        <v>2024</v>
      </c>
      <c r="J1612" s="208">
        <v>4779</v>
      </c>
      <c r="K1612" s="159"/>
      <c r="L1612" s="204" t="s">
        <v>942</v>
      </c>
    </row>
    <row r="1613" spans="1:12" ht="15">
      <c r="A1613" s="159"/>
      <c r="B1613" s="143"/>
      <c r="C1613" s="205" t="s">
        <v>938</v>
      </c>
      <c r="D1613" s="162"/>
      <c r="E1613" s="163"/>
      <c r="F1613" s="159"/>
      <c r="G1613" s="164"/>
      <c r="H1613" s="204" t="s">
        <v>940</v>
      </c>
      <c r="I1613" s="211">
        <v>2024</v>
      </c>
      <c r="J1613" s="208">
        <v>4779</v>
      </c>
      <c r="K1613" s="159"/>
      <c r="L1613" s="204" t="s">
        <v>942</v>
      </c>
    </row>
    <row r="1614" spans="1:12" ht="15">
      <c r="A1614" s="159"/>
      <c r="B1614" s="143"/>
      <c r="C1614" s="205" t="s">
        <v>938</v>
      </c>
      <c r="D1614" s="162"/>
      <c r="E1614" s="163"/>
      <c r="F1614" s="159"/>
      <c r="G1614" s="164"/>
      <c r="H1614" s="204" t="s">
        <v>940</v>
      </c>
      <c r="I1614" s="211">
        <v>2024</v>
      </c>
      <c r="J1614" s="208">
        <v>4779</v>
      </c>
      <c r="K1614" s="159"/>
      <c r="L1614" s="204" t="s">
        <v>942</v>
      </c>
    </row>
    <row r="1615" spans="1:12" ht="15">
      <c r="A1615" s="159"/>
      <c r="B1615" s="143"/>
      <c r="C1615" s="205" t="s">
        <v>938</v>
      </c>
      <c r="D1615" s="162"/>
      <c r="E1615" s="163"/>
      <c r="F1615" s="159"/>
      <c r="G1615" s="164"/>
      <c r="H1615" s="204" t="s">
        <v>940</v>
      </c>
      <c r="I1615" s="211">
        <v>2024</v>
      </c>
      <c r="J1615" s="208">
        <v>4779</v>
      </c>
      <c r="K1615" s="159"/>
      <c r="L1615" s="204" t="s">
        <v>942</v>
      </c>
    </row>
    <row r="1616" spans="1:12" ht="15">
      <c r="A1616" s="159"/>
      <c r="B1616" s="143"/>
      <c r="C1616" s="205" t="s">
        <v>938</v>
      </c>
      <c r="D1616" s="162"/>
      <c r="E1616" s="163"/>
      <c r="F1616" s="159"/>
      <c r="G1616" s="164"/>
      <c r="H1616" s="204" t="s">
        <v>940</v>
      </c>
      <c r="I1616" s="211">
        <v>2024</v>
      </c>
      <c r="J1616" s="208">
        <v>3882</v>
      </c>
      <c r="K1616" s="159"/>
      <c r="L1616" s="204" t="s">
        <v>942</v>
      </c>
    </row>
    <row r="1617" spans="1:12" ht="15">
      <c r="A1617" s="159"/>
      <c r="B1617" s="143"/>
      <c r="C1617" s="205" t="s">
        <v>938</v>
      </c>
      <c r="D1617" s="162"/>
      <c r="E1617" s="163"/>
      <c r="F1617" s="159"/>
      <c r="G1617" s="164"/>
      <c r="H1617" s="204" t="s">
        <v>940</v>
      </c>
      <c r="I1617" s="211">
        <v>2024</v>
      </c>
      <c r="J1617" s="208">
        <v>4779</v>
      </c>
      <c r="K1617" s="159"/>
      <c r="L1617" s="204" t="s">
        <v>942</v>
      </c>
    </row>
    <row r="1618" spans="1:12" ht="15">
      <c r="A1618" s="159"/>
      <c r="B1618" s="143"/>
      <c r="C1618" s="205" t="s">
        <v>938</v>
      </c>
      <c r="D1618" s="162"/>
      <c r="E1618" s="163"/>
      <c r="F1618" s="159"/>
      <c r="G1618" s="164"/>
      <c r="H1618" s="204" t="s">
        <v>940</v>
      </c>
      <c r="I1618" s="211">
        <v>2024</v>
      </c>
      <c r="J1618" s="208">
        <v>4779</v>
      </c>
      <c r="K1618" s="159"/>
      <c r="L1618" s="204" t="s">
        <v>942</v>
      </c>
    </row>
    <row r="1619" spans="1:12" ht="15">
      <c r="A1619" s="159"/>
      <c r="B1619" s="143"/>
      <c r="C1619" s="205" t="s">
        <v>938</v>
      </c>
      <c r="D1619" s="162"/>
      <c r="E1619" s="163"/>
      <c r="F1619" s="159"/>
      <c r="G1619" s="164"/>
      <c r="H1619" s="204" t="s">
        <v>940</v>
      </c>
      <c r="I1619" s="211">
        <v>2024</v>
      </c>
      <c r="J1619" s="208">
        <v>5290</v>
      </c>
      <c r="K1619" s="159"/>
      <c r="L1619" s="204" t="s">
        <v>942</v>
      </c>
    </row>
    <row r="1620" spans="1:12" ht="15">
      <c r="A1620" s="159"/>
      <c r="B1620" s="143"/>
      <c r="C1620" s="205" t="s">
        <v>938</v>
      </c>
      <c r="D1620" s="162"/>
      <c r="E1620" s="163"/>
      <c r="F1620" s="159"/>
      <c r="G1620" s="164"/>
      <c r="H1620" s="204" t="s">
        <v>940</v>
      </c>
      <c r="I1620" s="211">
        <v>2024</v>
      </c>
      <c r="J1620" s="208">
        <v>3882</v>
      </c>
      <c r="K1620" s="159"/>
      <c r="L1620" s="204" t="s">
        <v>942</v>
      </c>
    </row>
    <row r="1621" spans="1:12" ht="15">
      <c r="A1621" s="159"/>
      <c r="B1621" s="143"/>
      <c r="C1621" s="205" t="s">
        <v>938</v>
      </c>
      <c r="D1621" s="162"/>
      <c r="E1621" s="163"/>
      <c r="F1621" s="159"/>
      <c r="G1621" s="164"/>
      <c r="H1621" s="204" t="s">
        <v>940</v>
      </c>
      <c r="I1621" s="211">
        <v>2024</v>
      </c>
      <c r="J1621" s="208">
        <v>4779</v>
      </c>
      <c r="K1621" s="159"/>
      <c r="L1621" s="204" t="s">
        <v>942</v>
      </c>
    </row>
    <row r="1622" spans="1:12" ht="15">
      <c r="A1622" s="159"/>
      <c r="B1622" s="143"/>
      <c r="C1622" s="205" t="s">
        <v>938</v>
      </c>
      <c r="D1622" s="162"/>
      <c r="E1622" s="163"/>
      <c r="F1622" s="159"/>
      <c r="G1622" s="164"/>
      <c r="H1622" s="204" t="s">
        <v>940</v>
      </c>
      <c r="I1622" s="211">
        <v>2024</v>
      </c>
      <c r="J1622" s="208">
        <v>3882</v>
      </c>
      <c r="K1622" s="159"/>
      <c r="L1622" s="204" t="s">
        <v>942</v>
      </c>
    </row>
    <row r="1623" spans="1:12" ht="15">
      <c r="A1623" s="159"/>
      <c r="B1623" s="143"/>
      <c r="C1623" s="205" t="s">
        <v>938</v>
      </c>
      <c r="D1623" s="162"/>
      <c r="E1623" s="163"/>
      <c r="F1623" s="159"/>
      <c r="G1623" s="164"/>
      <c r="H1623" s="204" t="s">
        <v>940</v>
      </c>
      <c r="I1623" s="211">
        <v>2024</v>
      </c>
      <c r="J1623" s="208">
        <v>4779</v>
      </c>
      <c r="K1623" s="159"/>
      <c r="L1623" s="204" t="s">
        <v>942</v>
      </c>
    </row>
    <row r="1624" spans="1:12" ht="15">
      <c r="A1624" s="159"/>
      <c r="B1624" s="143"/>
      <c r="C1624" s="205" t="s">
        <v>938</v>
      </c>
      <c r="D1624" s="162"/>
      <c r="E1624" s="163"/>
      <c r="F1624" s="159"/>
      <c r="G1624" s="164"/>
      <c r="H1624" s="204" t="s">
        <v>940</v>
      </c>
      <c r="I1624" s="211">
        <v>2024</v>
      </c>
      <c r="J1624" s="208">
        <v>3882</v>
      </c>
      <c r="K1624" s="159"/>
      <c r="L1624" s="204" t="s">
        <v>942</v>
      </c>
    </row>
    <row r="1625" spans="1:12" ht="15">
      <c r="A1625" s="159"/>
      <c r="B1625" s="143"/>
      <c r="C1625" s="205" t="s">
        <v>938</v>
      </c>
      <c r="D1625" s="162"/>
      <c r="E1625" s="163"/>
      <c r="F1625" s="159"/>
      <c r="G1625" s="164"/>
      <c r="H1625" s="204" t="s">
        <v>940</v>
      </c>
      <c r="I1625" s="211">
        <v>2024</v>
      </c>
      <c r="J1625" s="208">
        <v>5290</v>
      </c>
      <c r="K1625" s="159"/>
      <c r="L1625" s="204" t="s">
        <v>942</v>
      </c>
    </row>
    <row r="1626" spans="1:12" ht="15">
      <c r="A1626" s="159"/>
      <c r="B1626" s="143"/>
      <c r="C1626" s="205" t="s">
        <v>938</v>
      </c>
      <c r="D1626" s="162"/>
      <c r="E1626" s="163"/>
      <c r="F1626" s="159"/>
      <c r="G1626" s="164"/>
      <c r="H1626" s="204" t="s">
        <v>940</v>
      </c>
      <c r="I1626" s="211">
        <v>2024</v>
      </c>
      <c r="J1626" s="208">
        <v>4162</v>
      </c>
      <c r="K1626" s="159"/>
      <c r="L1626" s="204" t="s">
        <v>942</v>
      </c>
    </row>
    <row r="1627" spans="1:12" ht="15">
      <c r="A1627" s="159"/>
      <c r="B1627" s="143"/>
      <c r="C1627" s="205" t="s">
        <v>938</v>
      </c>
      <c r="D1627" s="162"/>
      <c r="E1627" s="163"/>
      <c r="F1627" s="159"/>
      <c r="G1627" s="164"/>
      <c r="H1627" s="204" t="s">
        <v>940</v>
      </c>
      <c r="I1627" s="211">
        <v>2024</v>
      </c>
      <c r="J1627" s="208">
        <v>4162</v>
      </c>
      <c r="K1627" s="159"/>
      <c r="L1627" s="204" t="s">
        <v>942</v>
      </c>
    </row>
    <row r="1628" spans="1:12" ht="15">
      <c r="A1628" s="159"/>
      <c r="B1628" s="143"/>
      <c r="C1628" s="205" t="s">
        <v>938</v>
      </c>
      <c r="D1628" s="162"/>
      <c r="E1628" s="163"/>
      <c r="F1628" s="159"/>
      <c r="G1628" s="164"/>
      <c r="H1628" s="204" t="s">
        <v>940</v>
      </c>
      <c r="I1628" s="211">
        <v>2024</v>
      </c>
      <c r="J1628" s="208">
        <v>4779</v>
      </c>
      <c r="K1628" s="159"/>
      <c r="L1628" s="204" t="s">
        <v>942</v>
      </c>
    </row>
    <row r="1629" spans="1:12" ht="15">
      <c r="A1629" s="159"/>
      <c r="B1629" s="143"/>
      <c r="C1629" s="205" t="s">
        <v>938</v>
      </c>
      <c r="D1629" s="162"/>
      <c r="E1629" s="163"/>
      <c r="F1629" s="159"/>
      <c r="G1629" s="164"/>
      <c r="H1629" s="204" t="s">
        <v>940</v>
      </c>
      <c r="I1629" s="211">
        <v>2024</v>
      </c>
      <c r="J1629" s="208">
        <v>4779</v>
      </c>
      <c r="K1629" s="159"/>
      <c r="L1629" s="204" t="s">
        <v>942</v>
      </c>
    </row>
    <row r="1630" spans="1:12" ht="15">
      <c r="A1630" s="159"/>
      <c r="B1630" s="143"/>
      <c r="C1630" s="205" t="s">
        <v>938</v>
      </c>
      <c r="D1630" s="162"/>
      <c r="E1630" s="163"/>
      <c r="F1630" s="159"/>
      <c r="G1630" s="164"/>
      <c r="H1630" s="204" t="s">
        <v>940</v>
      </c>
      <c r="I1630" s="211">
        <v>2024</v>
      </c>
      <c r="J1630" s="208">
        <v>4779</v>
      </c>
      <c r="K1630" s="159"/>
      <c r="L1630" s="204" t="s">
        <v>942</v>
      </c>
    </row>
    <row r="1631" spans="1:12" ht="15">
      <c r="A1631" s="159"/>
      <c r="B1631" s="143"/>
      <c r="C1631" s="205" t="s">
        <v>938</v>
      </c>
      <c r="D1631" s="162"/>
      <c r="E1631" s="163"/>
      <c r="F1631" s="159"/>
      <c r="G1631" s="164"/>
      <c r="H1631" s="204" t="s">
        <v>940</v>
      </c>
      <c r="I1631" s="211">
        <v>2024</v>
      </c>
      <c r="J1631" s="208">
        <v>4162</v>
      </c>
      <c r="K1631" s="159"/>
      <c r="L1631" s="204" t="s">
        <v>942</v>
      </c>
    </row>
    <row r="1632" spans="1:12" ht="15">
      <c r="A1632" s="159"/>
      <c r="B1632" s="143"/>
      <c r="C1632" s="205" t="s">
        <v>938</v>
      </c>
      <c r="D1632" s="162"/>
      <c r="E1632" s="163"/>
      <c r="F1632" s="159"/>
      <c r="G1632" s="164"/>
      <c r="H1632" s="204" t="s">
        <v>940</v>
      </c>
      <c r="I1632" s="211">
        <v>2024</v>
      </c>
      <c r="J1632" s="208">
        <v>3882</v>
      </c>
      <c r="K1632" s="159"/>
      <c r="L1632" s="204" t="s">
        <v>942</v>
      </c>
    </row>
    <row r="1633" spans="1:12" ht="15">
      <c r="A1633" s="159"/>
      <c r="B1633" s="143"/>
      <c r="C1633" s="205" t="s">
        <v>938</v>
      </c>
      <c r="D1633" s="162"/>
      <c r="E1633" s="163"/>
      <c r="F1633" s="159"/>
      <c r="G1633" s="164"/>
      <c r="H1633" s="204" t="s">
        <v>940</v>
      </c>
      <c r="I1633" s="211">
        <v>2024</v>
      </c>
      <c r="J1633" s="208">
        <v>4162</v>
      </c>
      <c r="K1633" s="159"/>
      <c r="L1633" s="204" t="s">
        <v>942</v>
      </c>
    </row>
    <row r="1634" spans="1:12" ht="15">
      <c r="A1634" s="159"/>
      <c r="B1634" s="143"/>
      <c r="C1634" s="205" t="s">
        <v>938</v>
      </c>
      <c r="D1634" s="162"/>
      <c r="E1634" s="163"/>
      <c r="F1634" s="159"/>
      <c r="G1634" s="164"/>
      <c r="H1634" s="204" t="s">
        <v>940</v>
      </c>
      <c r="I1634" s="211">
        <v>2024</v>
      </c>
      <c r="J1634" s="208">
        <v>3882</v>
      </c>
      <c r="K1634" s="159"/>
      <c r="L1634" s="204" t="s">
        <v>942</v>
      </c>
    </row>
    <row r="1635" spans="1:12" ht="15">
      <c r="A1635" s="159"/>
      <c r="B1635" s="143"/>
      <c r="C1635" s="205" t="s">
        <v>938</v>
      </c>
      <c r="D1635" s="162"/>
      <c r="E1635" s="163"/>
      <c r="F1635" s="159"/>
      <c r="G1635" s="164"/>
      <c r="H1635" s="204" t="s">
        <v>940</v>
      </c>
      <c r="I1635" s="211">
        <v>2024</v>
      </c>
      <c r="J1635" s="208">
        <v>4162</v>
      </c>
      <c r="K1635" s="159"/>
      <c r="L1635" s="204" t="s">
        <v>942</v>
      </c>
    </row>
    <row r="1636" spans="1:12" ht="15">
      <c r="A1636" s="159"/>
      <c r="B1636" s="143"/>
      <c r="C1636" s="205" t="s">
        <v>938</v>
      </c>
      <c r="D1636" s="162"/>
      <c r="E1636" s="163"/>
      <c r="F1636" s="159"/>
      <c r="G1636" s="164"/>
      <c r="H1636" s="204" t="s">
        <v>940</v>
      </c>
      <c r="I1636" s="211">
        <v>2024</v>
      </c>
      <c r="J1636" s="208">
        <v>4162</v>
      </c>
      <c r="K1636" s="159"/>
      <c r="L1636" s="204" t="s">
        <v>942</v>
      </c>
    </row>
    <row r="1637" spans="1:12" ht="15">
      <c r="A1637" s="159"/>
      <c r="B1637" s="143"/>
      <c r="C1637" s="205" t="s">
        <v>938</v>
      </c>
      <c r="D1637" s="162"/>
      <c r="E1637" s="163"/>
      <c r="F1637" s="159"/>
      <c r="G1637" s="164"/>
      <c r="H1637" s="204" t="s">
        <v>940</v>
      </c>
      <c r="I1637" s="211">
        <v>2024</v>
      </c>
      <c r="J1637" s="208">
        <v>3882</v>
      </c>
      <c r="K1637" s="159"/>
      <c r="L1637" s="204" t="s">
        <v>942</v>
      </c>
    </row>
    <row r="1638" spans="1:12" ht="15">
      <c r="A1638" s="159"/>
      <c r="B1638" s="143"/>
      <c r="C1638" s="205" t="s">
        <v>938</v>
      </c>
      <c r="D1638" s="162"/>
      <c r="E1638" s="163"/>
      <c r="F1638" s="159"/>
      <c r="G1638" s="164"/>
      <c r="H1638" s="204" t="s">
        <v>940</v>
      </c>
      <c r="I1638" s="211">
        <v>2024</v>
      </c>
      <c r="J1638" s="208">
        <v>3882</v>
      </c>
      <c r="K1638" s="159"/>
      <c r="L1638" s="204" t="s">
        <v>942</v>
      </c>
    </row>
    <row r="1639" spans="1:12" ht="15">
      <c r="A1639" s="159"/>
      <c r="B1639" s="143"/>
      <c r="C1639" s="205" t="s">
        <v>938</v>
      </c>
      <c r="D1639" s="162"/>
      <c r="E1639" s="163"/>
      <c r="F1639" s="159"/>
      <c r="G1639" s="164"/>
      <c r="H1639" s="204" t="s">
        <v>940</v>
      </c>
      <c r="I1639" s="211">
        <v>2024</v>
      </c>
      <c r="J1639" s="208">
        <v>4162</v>
      </c>
      <c r="K1639" s="159"/>
      <c r="L1639" s="204" t="s">
        <v>942</v>
      </c>
    </row>
    <row r="1640" spans="1:12" ht="15">
      <c r="A1640" s="159"/>
      <c r="B1640" s="143"/>
      <c r="C1640" s="205" t="s">
        <v>938</v>
      </c>
      <c r="D1640" s="162"/>
      <c r="E1640" s="163"/>
      <c r="F1640" s="159"/>
      <c r="G1640" s="164"/>
      <c r="H1640" s="204" t="s">
        <v>940</v>
      </c>
      <c r="I1640" s="211">
        <v>2024</v>
      </c>
      <c r="J1640" s="208">
        <v>4162</v>
      </c>
      <c r="K1640" s="159"/>
      <c r="L1640" s="204" t="s">
        <v>942</v>
      </c>
    </row>
    <row r="1641" spans="1:12" ht="15">
      <c r="A1641" s="159"/>
      <c r="B1641" s="143"/>
      <c r="C1641" s="205" t="s">
        <v>938</v>
      </c>
      <c r="D1641" s="162"/>
      <c r="E1641" s="163"/>
      <c r="F1641" s="159"/>
      <c r="G1641" s="164"/>
      <c r="H1641" s="204" t="s">
        <v>940</v>
      </c>
      <c r="I1641" s="211">
        <v>2024</v>
      </c>
      <c r="J1641" s="208">
        <v>5596</v>
      </c>
      <c r="K1641" s="159"/>
      <c r="L1641" s="204" t="s">
        <v>942</v>
      </c>
    </row>
    <row r="1642" spans="1:12" ht="15">
      <c r="A1642" s="159"/>
      <c r="B1642" s="143"/>
      <c r="C1642" s="205" t="s">
        <v>938</v>
      </c>
      <c r="D1642" s="162"/>
      <c r="E1642" s="163"/>
      <c r="F1642" s="159"/>
      <c r="G1642" s="164"/>
      <c r="H1642" s="204" t="s">
        <v>940</v>
      </c>
      <c r="I1642" s="211">
        <v>2024</v>
      </c>
      <c r="J1642" s="208">
        <v>3882</v>
      </c>
      <c r="K1642" s="159"/>
      <c r="L1642" s="204" t="s">
        <v>942</v>
      </c>
    </row>
    <row r="1643" spans="1:12" ht="15">
      <c r="A1643" s="159"/>
      <c r="B1643" s="143"/>
      <c r="C1643" s="205" t="s">
        <v>938</v>
      </c>
      <c r="D1643" s="162"/>
      <c r="E1643" s="163"/>
      <c r="F1643" s="159"/>
      <c r="G1643" s="164"/>
      <c r="H1643" s="204" t="s">
        <v>940</v>
      </c>
      <c r="I1643" s="211">
        <v>2024</v>
      </c>
      <c r="J1643" s="208">
        <v>3882</v>
      </c>
      <c r="K1643" s="159"/>
      <c r="L1643" s="204" t="s">
        <v>942</v>
      </c>
    </row>
    <row r="1644" spans="1:12" ht="15">
      <c r="A1644" s="159"/>
      <c r="B1644" s="143"/>
      <c r="C1644" s="205" t="s">
        <v>938</v>
      </c>
      <c r="D1644" s="162"/>
      <c r="E1644" s="163"/>
      <c r="F1644" s="159"/>
      <c r="G1644" s="164"/>
      <c r="H1644" s="204" t="s">
        <v>940</v>
      </c>
      <c r="I1644" s="211">
        <v>2024</v>
      </c>
      <c r="J1644" s="208">
        <v>3882</v>
      </c>
      <c r="K1644" s="159"/>
      <c r="L1644" s="204" t="s">
        <v>942</v>
      </c>
    </row>
    <row r="1645" spans="1:12" ht="15">
      <c r="A1645" s="159"/>
      <c r="B1645" s="143"/>
      <c r="C1645" s="205" t="s">
        <v>938</v>
      </c>
      <c r="D1645" s="162"/>
      <c r="E1645" s="163"/>
      <c r="F1645" s="159"/>
      <c r="G1645" s="164"/>
      <c r="H1645" s="204" t="s">
        <v>940</v>
      </c>
      <c r="I1645" s="211">
        <v>2024</v>
      </c>
      <c r="J1645" s="208">
        <v>5290</v>
      </c>
      <c r="K1645" s="159"/>
      <c r="L1645" s="204" t="s">
        <v>942</v>
      </c>
    </row>
    <row r="1646" spans="1:12" ht="15">
      <c r="A1646" s="159"/>
      <c r="B1646" s="143"/>
      <c r="C1646" s="205" t="s">
        <v>938</v>
      </c>
      <c r="D1646" s="162"/>
      <c r="E1646" s="163"/>
      <c r="F1646" s="159"/>
      <c r="G1646" s="164"/>
      <c r="H1646" s="204" t="s">
        <v>940</v>
      </c>
      <c r="I1646" s="211">
        <v>2024</v>
      </c>
      <c r="J1646" s="208">
        <v>3370</v>
      </c>
      <c r="K1646" s="159"/>
      <c r="L1646" s="204" t="s">
        <v>942</v>
      </c>
    </row>
    <row r="1647" spans="1:12" ht="15">
      <c r="A1647" s="159"/>
      <c r="B1647" s="143"/>
      <c r="C1647" s="205" t="s">
        <v>938</v>
      </c>
      <c r="D1647" s="162"/>
      <c r="E1647" s="163"/>
      <c r="F1647" s="159"/>
      <c r="G1647" s="164"/>
      <c r="H1647" s="204" t="s">
        <v>940</v>
      </c>
      <c r="I1647" s="211">
        <v>2024</v>
      </c>
      <c r="J1647" s="208">
        <v>4162</v>
      </c>
      <c r="K1647" s="159"/>
      <c r="L1647" s="204" t="s">
        <v>942</v>
      </c>
    </row>
    <row r="1648" spans="1:12" ht="15">
      <c r="A1648" s="159"/>
      <c r="B1648" s="143"/>
      <c r="C1648" s="205" t="s">
        <v>938</v>
      </c>
      <c r="D1648" s="162"/>
      <c r="E1648" s="163"/>
      <c r="F1648" s="159"/>
      <c r="G1648" s="164"/>
      <c r="H1648" s="204" t="s">
        <v>940</v>
      </c>
      <c r="I1648" s="211">
        <v>2024</v>
      </c>
      <c r="J1648" s="208">
        <v>4162</v>
      </c>
      <c r="K1648" s="159"/>
      <c r="L1648" s="204" t="s">
        <v>942</v>
      </c>
    </row>
    <row r="1649" spans="1:12" ht="15">
      <c r="A1649" s="159"/>
      <c r="B1649" s="143"/>
      <c r="C1649" s="205" t="s">
        <v>938</v>
      </c>
      <c r="D1649" s="162"/>
      <c r="E1649" s="163"/>
      <c r="F1649" s="159"/>
      <c r="G1649" s="164"/>
      <c r="H1649" s="204" t="s">
        <v>940</v>
      </c>
      <c r="I1649" s="211">
        <v>2024</v>
      </c>
      <c r="J1649" s="208">
        <v>5596</v>
      </c>
      <c r="K1649" s="159"/>
      <c r="L1649" s="204" t="s">
        <v>942</v>
      </c>
    </row>
    <row r="1650" spans="1:12" ht="15">
      <c r="A1650" s="159"/>
      <c r="B1650" s="143"/>
      <c r="C1650" s="205" t="s">
        <v>938</v>
      </c>
      <c r="D1650" s="162"/>
      <c r="E1650" s="163"/>
      <c r="F1650" s="159"/>
      <c r="G1650" s="164"/>
      <c r="H1650" s="204" t="s">
        <v>940</v>
      </c>
      <c r="I1650" s="211">
        <v>2024</v>
      </c>
      <c r="J1650" s="208">
        <v>3370</v>
      </c>
      <c r="K1650" s="159"/>
      <c r="L1650" s="204" t="s">
        <v>942</v>
      </c>
    </row>
    <row r="1651" spans="1:12" ht="15">
      <c r="A1651" s="159"/>
      <c r="B1651" s="143"/>
      <c r="C1651" s="205" t="s">
        <v>938</v>
      </c>
      <c r="D1651" s="162"/>
      <c r="E1651" s="163"/>
      <c r="F1651" s="159"/>
      <c r="G1651" s="164"/>
      <c r="H1651" s="204" t="s">
        <v>940</v>
      </c>
      <c r="I1651" s="211">
        <v>2024</v>
      </c>
      <c r="J1651" s="208">
        <v>3882</v>
      </c>
      <c r="K1651" s="159"/>
      <c r="L1651" s="204" t="s">
        <v>942</v>
      </c>
    </row>
    <row r="1652" spans="1:12" ht="15">
      <c r="A1652" s="159"/>
      <c r="B1652" s="143"/>
      <c r="C1652" s="205" t="s">
        <v>938</v>
      </c>
      <c r="D1652" s="162"/>
      <c r="E1652" s="163"/>
      <c r="F1652" s="159"/>
      <c r="G1652" s="164"/>
      <c r="H1652" s="204" t="s">
        <v>940</v>
      </c>
      <c r="I1652" s="211">
        <v>2024</v>
      </c>
      <c r="J1652" s="208">
        <v>3370</v>
      </c>
      <c r="K1652" s="159"/>
      <c r="L1652" s="204" t="s">
        <v>942</v>
      </c>
    </row>
    <row r="1653" spans="1:12" ht="15">
      <c r="A1653" s="159"/>
      <c r="B1653" s="143"/>
      <c r="C1653" s="205" t="s">
        <v>938</v>
      </c>
      <c r="D1653" s="162"/>
      <c r="E1653" s="163"/>
      <c r="F1653" s="159"/>
      <c r="G1653" s="164"/>
      <c r="H1653" s="204" t="s">
        <v>940</v>
      </c>
      <c r="I1653" s="211">
        <v>2024</v>
      </c>
      <c r="J1653" s="208">
        <v>5290</v>
      </c>
      <c r="K1653" s="159"/>
      <c r="L1653" s="204" t="s">
        <v>942</v>
      </c>
    </row>
    <row r="1654" spans="1:12" ht="15">
      <c r="A1654" s="159"/>
      <c r="B1654" s="143"/>
      <c r="C1654" s="205" t="s">
        <v>938</v>
      </c>
      <c r="D1654" s="162"/>
      <c r="E1654" s="163"/>
      <c r="F1654" s="159"/>
      <c r="G1654" s="164"/>
      <c r="H1654" s="204" t="s">
        <v>940</v>
      </c>
      <c r="I1654" s="211">
        <v>2024</v>
      </c>
      <c r="J1654" s="208">
        <v>6142</v>
      </c>
      <c r="K1654" s="159"/>
      <c r="L1654" s="204" t="s">
        <v>942</v>
      </c>
    </row>
    <row r="1655" spans="1:12" ht="15">
      <c r="A1655" s="159"/>
      <c r="B1655" s="143"/>
      <c r="C1655" s="205" t="s">
        <v>938</v>
      </c>
      <c r="D1655" s="162"/>
      <c r="E1655" s="163"/>
      <c r="F1655" s="159"/>
      <c r="G1655" s="164"/>
      <c r="H1655" s="204" t="s">
        <v>940</v>
      </c>
      <c r="I1655" s="211">
        <v>2024</v>
      </c>
      <c r="J1655" s="208">
        <v>4779</v>
      </c>
      <c r="K1655" s="159"/>
      <c r="L1655" s="204" t="s">
        <v>942</v>
      </c>
    </row>
    <row r="1656" spans="1:12" ht="15">
      <c r="A1656" s="159"/>
      <c r="B1656" s="143"/>
      <c r="C1656" s="205" t="s">
        <v>938</v>
      </c>
      <c r="D1656" s="162"/>
      <c r="E1656" s="163"/>
      <c r="F1656" s="159"/>
      <c r="G1656" s="164"/>
      <c r="H1656" s="204" t="s">
        <v>940</v>
      </c>
      <c r="I1656" s="211">
        <v>2024</v>
      </c>
      <c r="J1656" s="208">
        <v>3882</v>
      </c>
      <c r="K1656" s="159"/>
      <c r="L1656" s="204" t="s">
        <v>942</v>
      </c>
    </row>
    <row r="1657" spans="1:12" ht="15">
      <c r="A1657" s="159"/>
      <c r="B1657" s="143"/>
      <c r="C1657" s="205" t="s">
        <v>938</v>
      </c>
      <c r="D1657" s="162"/>
      <c r="E1657" s="163"/>
      <c r="F1657" s="159"/>
      <c r="G1657" s="164"/>
      <c r="H1657" s="204" t="s">
        <v>940</v>
      </c>
      <c r="I1657" s="211">
        <v>2024</v>
      </c>
      <c r="J1657" s="208">
        <v>4162</v>
      </c>
      <c r="K1657" s="159"/>
      <c r="L1657" s="204" t="s">
        <v>942</v>
      </c>
    </row>
    <row r="1658" spans="1:12" ht="15">
      <c r="A1658" s="159"/>
      <c r="B1658" s="143"/>
      <c r="C1658" s="205" t="s">
        <v>938</v>
      </c>
      <c r="D1658" s="162"/>
      <c r="E1658" s="163"/>
      <c r="F1658" s="159"/>
      <c r="G1658" s="164"/>
      <c r="H1658" s="204" t="s">
        <v>940</v>
      </c>
      <c r="I1658" s="211">
        <v>2024</v>
      </c>
      <c r="J1658" s="208">
        <v>4162</v>
      </c>
      <c r="K1658" s="159"/>
      <c r="L1658" s="204" t="s">
        <v>942</v>
      </c>
    </row>
    <row r="1659" spans="1:12" ht="15">
      <c r="A1659" s="159"/>
      <c r="B1659" s="143"/>
      <c r="C1659" s="205" t="s">
        <v>938</v>
      </c>
      <c r="D1659" s="162"/>
      <c r="E1659" s="163"/>
      <c r="F1659" s="159"/>
      <c r="G1659" s="164"/>
      <c r="H1659" s="204" t="s">
        <v>940</v>
      </c>
      <c r="I1659" s="211">
        <v>2024</v>
      </c>
      <c r="J1659" s="208">
        <v>4779</v>
      </c>
      <c r="K1659" s="159"/>
      <c r="L1659" s="204" t="s">
        <v>942</v>
      </c>
    </row>
    <row r="1660" spans="1:12" ht="15">
      <c r="A1660" s="159"/>
      <c r="B1660" s="143"/>
      <c r="C1660" s="205" t="s">
        <v>938</v>
      </c>
      <c r="D1660" s="162"/>
      <c r="E1660" s="163"/>
      <c r="F1660" s="159"/>
      <c r="G1660" s="164"/>
      <c r="H1660" s="204" t="s">
        <v>940</v>
      </c>
      <c r="I1660" s="211">
        <v>2024</v>
      </c>
      <c r="J1660" s="208">
        <v>3370</v>
      </c>
      <c r="K1660" s="159"/>
      <c r="L1660" s="204" t="s">
        <v>942</v>
      </c>
    </row>
    <row r="1661" spans="1:12" ht="15">
      <c r="A1661" s="159"/>
      <c r="B1661" s="143"/>
      <c r="C1661" s="205" t="s">
        <v>938</v>
      </c>
      <c r="D1661" s="162"/>
      <c r="E1661" s="163"/>
      <c r="F1661" s="159"/>
      <c r="G1661" s="164"/>
      <c r="H1661" s="204" t="s">
        <v>940</v>
      </c>
      <c r="I1661" s="211">
        <v>2024</v>
      </c>
      <c r="J1661" s="208">
        <v>3882</v>
      </c>
      <c r="K1661" s="159"/>
      <c r="L1661" s="204" t="s">
        <v>942</v>
      </c>
    </row>
    <row r="1662" spans="1:12" ht="15">
      <c r="A1662" s="159"/>
      <c r="B1662" s="143"/>
      <c r="C1662" s="205" t="s">
        <v>938</v>
      </c>
      <c r="D1662" s="162"/>
      <c r="E1662" s="163"/>
      <c r="F1662" s="159"/>
      <c r="G1662" s="164"/>
      <c r="H1662" s="204" t="s">
        <v>940</v>
      </c>
      <c r="I1662" s="211">
        <v>2024</v>
      </c>
      <c r="J1662" s="208">
        <v>4779</v>
      </c>
      <c r="K1662" s="159"/>
      <c r="L1662" s="204" t="s">
        <v>942</v>
      </c>
    </row>
    <row r="1663" spans="1:12" ht="15">
      <c r="A1663" s="159"/>
      <c r="B1663" s="143"/>
      <c r="C1663" s="205" t="s">
        <v>938</v>
      </c>
      <c r="D1663" s="162"/>
      <c r="E1663" s="163"/>
      <c r="F1663" s="159"/>
      <c r="G1663" s="164"/>
      <c r="H1663" s="204" t="s">
        <v>940</v>
      </c>
      <c r="I1663" s="211">
        <v>2024</v>
      </c>
      <c r="J1663" s="208">
        <v>5596</v>
      </c>
      <c r="K1663" s="159"/>
      <c r="L1663" s="204" t="s">
        <v>942</v>
      </c>
    </row>
    <row r="1664" spans="1:12" ht="15">
      <c r="A1664" s="159"/>
      <c r="B1664" s="143"/>
      <c r="C1664" s="205" t="s">
        <v>938</v>
      </c>
      <c r="D1664" s="162"/>
      <c r="E1664" s="163"/>
      <c r="F1664" s="159"/>
      <c r="G1664" s="164"/>
      <c r="H1664" s="204" t="s">
        <v>940</v>
      </c>
      <c r="I1664" s="211">
        <v>2024</v>
      </c>
      <c r="J1664" s="208">
        <v>4779</v>
      </c>
      <c r="K1664" s="159"/>
      <c r="L1664" s="204" t="s">
        <v>942</v>
      </c>
    </row>
    <row r="1665" spans="1:12" ht="15">
      <c r="A1665" s="159"/>
      <c r="B1665" s="143"/>
      <c r="C1665" s="205" t="s">
        <v>938</v>
      </c>
      <c r="D1665" s="162"/>
      <c r="E1665" s="163"/>
      <c r="F1665" s="159"/>
      <c r="G1665" s="164"/>
      <c r="H1665" s="204" t="s">
        <v>940</v>
      </c>
      <c r="I1665" s="211">
        <v>2024</v>
      </c>
      <c r="J1665" s="208">
        <v>3882</v>
      </c>
      <c r="K1665" s="159"/>
      <c r="L1665" s="204" t="s">
        <v>942</v>
      </c>
    </row>
    <row r="1666" spans="1:12" ht="15">
      <c r="A1666" s="159"/>
      <c r="B1666" s="143"/>
      <c r="C1666" s="205" t="s">
        <v>938</v>
      </c>
      <c r="D1666" s="162"/>
      <c r="E1666" s="163"/>
      <c r="F1666" s="159"/>
      <c r="G1666" s="164"/>
      <c r="H1666" s="204" t="s">
        <v>940</v>
      </c>
      <c r="I1666" s="211">
        <v>2024</v>
      </c>
      <c r="J1666" s="208">
        <v>3882</v>
      </c>
      <c r="K1666" s="159"/>
      <c r="L1666" s="204" t="s">
        <v>942</v>
      </c>
    </row>
    <row r="1667" spans="1:12" ht="15">
      <c r="A1667" s="159"/>
      <c r="B1667" s="143"/>
      <c r="C1667" s="205" t="s">
        <v>938</v>
      </c>
      <c r="D1667" s="162"/>
      <c r="E1667" s="163"/>
      <c r="F1667" s="159"/>
      <c r="G1667" s="164"/>
      <c r="H1667" s="204" t="s">
        <v>940</v>
      </c>
      <c r="I1667" s="211">
        <v>2024</v>
      </c>
      <c r="J1667" s="208">
        <v>4162</v>
      </c>
      <c r="K1667" s="159"/>
      <c r="L1667" s="204" t="s">
        <v>942</v>
      </c>
    </row>
    <row r="1668" spans="1:12" ht="15">
      <c r="A1668" s="159"/>
      <c r="B1668" s="143"/>
      <c r="C1668" s="205" t="s">
        <v>938</v>
      </c>
      <c r="D1668" s="162"/>
      <c r="E1668" s="163"/>
      <c r="F1668" s="159"/>
      <c r="G1668" s="164"/>
      <c r="H1668" s="204" t="s">
        <v>940</v>
      </c>
      <c r="I1668" s="211">
        <v>2024</v>
      </c>
      <c r="J1668" s="208">
        <v>4162</v>
      </c>
      <c r="K1668" s="159"/>
      <c r="L1668" s="204" t="s">
        <v>942</v>
      </c>
    </row>
    <row r="1669" spans="1:12" ht="15">
      <c r="A1669" s="159"/>
      <c r="B1669" s="143"/>
      <c r="C1669" s="205" t="s">
        <v>938</v>
      </c>
      <c r="D1669" s="162"/>
      <c r="E1669" s="163"/>
      <c r="F1669" s="159"/>
      <c r="G1669" s="164"/>
      <c r="H1669" s="204" t="s">
        <v>940</v>
      </c>
      <c r="I1669" s="211">
        <v>2024</v>
      </c>
      <c r="J1669" s="208">
        <v>5596</v>
      </c>
      <c r="K1669" s="159"/>
      <c r="L1669" s="204" t="s">
        <v>942</v>
      </c>
    </row>
    <row r="1670" spans="1:12" ht="15">
      <c r="A1670" s="159"/>
      <c r="B1670" s="143"/>
      <c r="C1670" s="205" t="s">
        <v>938</v>
      </c>
      <c r="D1670" s="162"/>
      <c r="E1670" s="163"/>
      <c r="F1670" s="159"/>
      <c r="G1670" s="164"/>
      <c r="H1670" s="204" t="s">
        <v>940</v>
      </c>
      <c r="I1670" s="211">
        <v>2024</v>
      </c>
      <c r="J1670" s="208">
        <v>3882</v>
      </c>
      <c r="K1670" s="159"/>
      <c r="L1670" s="204" t="s">
        <v>942</v>
      </c>
    </row>
    <row r="1671" spans="1:12" ht="15">
      <c r="A1671" s="159"/>
      <c r="B1671" s="143"/>
      <c r="C1671" s="205" t="s">
        <v>938</v>
      </c>
      <c r="D1671" s="162"/>
      <c r="E1671" s="163"/>
      <c r="F1671" s="159"/>
      <c r="G1671" s="164"/>
      <c r="H1671" s="204" t="s">
        <v>940</v>
      </c>
      <c r="I1671" s="211">
        <v>2024</v>
      </c>
      <c r="J1671" s="208">
        <v>3370</v>
      </c>
      <c r="K1671" s="159"/>
      <c r="L1671" s="204" t="s">
        <v>942</v>
      </c>
    </row>
    <row r="1672" spans="1:12" ht="15">
      <c r="A1672" s="159"/>
      <c r="B1672" s="143"/>
      <c r="C1672" s="205" t="s">
        <v>938</v>
      </c>
      <c r="D1672" s="162"/>
      <c r="E1672" s="163"/>
      <c r="F1672" s="159"/>
      <c r="G1672" s="164"/>
      <c r="H1672" s="204" t="s">
        <v>940</v>
      </c>
      <c r="I1672" s="211">
        <v>2024</v>
      </c>
      <c r="J1672" s="208">
        <v>3882</v>
      </c>
      <c r="K1672" s="159"/>
      <c r="L1672" s="204" t="s">
        <v>942</v>
      </c>
    </row>
    <row r="1673" spans="1:12" ht="15">
      <c r="A1673" s="159"/>
      <c r="B1673" s="143"/>
      <c r="C1673" s="205" t="s">
        <v>938</v>
      </c>
      <c r="D1673" s="162"/>
      <c r="E1673" s="163"/>
      <c r="F1673" s="159"/>
      <c r="G1673" s="164"/>
      <c r="H1673" s="204" t="s">
        <v>940</v>
      </c>
      <c r="I1673" s="211">
        <v>2024</v>
      </c>
      <c r="J1673" s="208">
        <v>3882</v>
      </c>
      <c r="K1673" s="159"/>
      <c r="L1673" s="204" t="s">
        <v>942</v>
      </c>
    </row>
    <row r="1674" spans="1:12" ht="15">
      <c r="A1674" s="159"/>
      <c r="B1674" s="143"/>
      <c r="C1674" s="205" t="s">
        <v>938</v>
      </c>
      <c r="D1674" s="162"/>
      <c r="E1674" s="163"/>
      <c r="F1674" s="159"/>
      <c r="G1674" s="164"/>
      <c r="H1674" s="204" t="s">
        <v>940</v>
      </c>
      <c r="I1674" s="211">
        <v>2024</v>
      </c>
      <c r="J1674" s="208">
        <v>3882</v>
      </c>
      <c r="K1674" s="159"/>
      <c r="L1674" s="204" t="s">
        <v>942</v>
      </c>
    </row>
    <row r="1675" spans="1:12" ht="15">
      <c r="A1675" s="159"/>
      <c r="B1675" s="143"/>
      <c r="C1675" s="205" t="s">
        <v>938</v>
      </c>
      <c r="D1675" s="162"/>
      <c r="E1675" s="163"/>
      <c r="F1675" s="159"/>
      <c r="G1675" s="164"/>
      <c r="H1675" s="204" t="s">
        <v>940</v>
      </c>
      <c r="I1675" s="211">
        <v>2024</v>
      </c>
      <c r="J1675" s="208">
        <v>3882</v>
      </c>
      <c r="K1675" s="159"/>
      <c r="L1675" s="204" t="s">
        <v>942</v>
      </c>
    </row>
    <row r="1676" spans="1:12" ht="15">
      <c r="A1676" s="159"/>
      <c r="B1676" s="143"/>
      <c r="C1676" s="205" t="s">
        <v>938</v>
      </c>
      <c r="D1676" s="162"/>
      <c r="E1676" s="163"/>
      <c r="F1676" s="159"/>
      <c r="G1676" s="164"/>
      <c r="H1676" s="204" t="s">
        <v>940</v>
      </c>
      <c r="I1676" s="211">
        <v>2024</v>
      </c>
      <c r="J1676" s="208">
        <v>3370</v>
      </c>
      <c r="K1676" s="159"/>
      <c r="L1676" s="204" t="s">
        <v>942</v>
      </c>
    </row>
    <row r="1677" spans="1:12" ht="15">
      <c r="A1677" s="159"/>
      <c r="B1677" s="143"/>
      <c r="C1677" s="205" t="s">
        <v>938</v>
      </c>
      <c r="D1677" s="162"/>
      <c r="E1677" s="163"/>
      <c r="F1677" s="159"/>
      <c r="G1677" s="164"/>
      <c r="H1677" s="204" t="s">
        <v>940</v>
      </c>
      <c r="I1677" s="211">
        <v>2024</v>
      </c>
      <c r="J1677" s="208">
        <v>4162</v>
      </c>
      <c r="K1677" s="159"/>
      <c r="L1677" s="204" t="s">
        <v>942</v>
      </c>
    </row>
    <row r="1678" spans="1:12" ht="15">
      <c r="A1678" s="159"/>
      <c r="B1678" s="143"/>
      <c r="C1678" s="205" t="s">
        <v>938</v>
      </c>
      <c r="D1678" s="162"/>
      <c r="E1678" s="163"/>
      <c r="F1678" s="159"/>
      <c r="G1678" s="164"/>
      <c r="H1678" s="204" t="s">
        <v>940</v>
      </c>
      <c r="I1678" s="211">
        <v>2024</v>
      </c>
      <c r="J1678" s="208">
        <v>4162</v>
      </c>
      <c r="K1678" s="159"/>
      <c r="L1678" s="204" t="s">
        <v>942</v>
      </c>
    </row>
    <row r="1679" spans="1:12" ht="15">
      <c r="A1679" s="159"/>
      <c r="B1679" s="143"/>
      <c r="C1679" s="205" t="s">
        <v>938</v>
      </c>
      <c r="D1679" s="162"/>
      <c r="E1679" s="163"/>
      <c r="F1679" s="159"/>
      <c r="G1679" s="164"/>
      <c r="H1679" s="204" t="s">
        <v>940</v>
      </c>
      <c r="I1679" s="211">
        <v>2024</v>
      </c>
      <c r="J1679" s="208">
        <v>4162</v>
      </c>
      <c r="K1679" s="159"/>
      <c r="L1679" s="204" t="s">
        <v>942</v>
      </c>
    </row>
    <row r="1680" spans="1:12" ht="15">
      <c r="A1680" s="159"/>
      <c r="B1680" s="143"/>
      <c r="C1680" s="205" t="s">
        <v>938</v>
      </c>
      <c r="D1680" s="162"/>
      <c r="E1680" s="163"/>
      <c r="F1680" s="159"/>
      <c r="G1680" s="164"/>
      <c r="H1680" s="204" t="s">
        <v>940</v>
      </c>
      <c r="I1680" s="211">
        <v>2024</v>
      </c>
      <c r="J1680" s="208">
        <v>3882</v>
      </c>
      <c r="K1680" s="159"/>
      <c r="L1680" s="204" t="s">
        <v>942</v>
      </c>
    </row>
    <row r="1681" spans="1:12" ht="15">
      <c r="A1681" s="159"/>
      <c r="B1681" s="143"/>
      <c r="C1681" s="205" t="s">
        <v>938</v>
      </c>
      <c r="D1681" s="162"/>
      <c r="E1681" s="163"/>
      <c r="F1681" s="159"/>
      <c r="G1681" s="164"/>
      <c r="H1681" s="204" t="s">
        <v>940</v>
      </c>
      <c r="I1681" s="211">
        <v>2024</v>
      </c>
      <c r="J1681" s="208">
        <v>4779</v>
      </c>
      <c r="K1681" s="159"/>
      <c r="L1681" s="204" t="s">
        <v>942</v>
      </c>
    </row>
    <row r="1682" spans="1:12" ht="15">
      <c r="A1682" s="159"/>
      <c r="B1682" s="143"/>
      <c r="C1682" s="205" t="s">
        <v>938</v>
      </c>
      <c r="D1682" s="162"/>
      <c r="E1682" s="163"/>
      <c r="F1682" s="159"/>
      <c r="G1682" s="164"/>
      <c r="H1682" s="204" t="s">
        <v>940</v>
      </c>
      <c r="I1682" s="211">
        <v>2024</v>
      </c>
      <c r="J1682" s="208">
        <v>4779</v>
      </c>
      <c r="K1682" s="159"/>
      <c r="L1682" s="204" t="s">
        <v>942</v>
      </c>
    </row>
    <row r="1683" spans="1:12" ht="15">
      <c r="A1683" s="159"/>
      <c r="B1683" s="143"/>
      <c r="C1683" s="205" t="s">
        <v>938</v>
      </c>
      <c r="D1683" s="162"/>
      <c r="E1683" s="163"/>
      <c r="F1683" s="159"/>
      <c r="G1683" s="164"/>
      <c r="H1683" s="204" t="s">
        <v>940</v>
      </c>
      <c r="I1683" s="211">
        <v>2024</v>
      </c>
      <c r="J1683" s="208">
        <v>3370</v>
      </c>
      <c r="K1683" s="159"/>
      <c r="L1683" s="204" t="s">
        <v>942</v>
      </c>
    </row>
    <row r="1684" spans="1:12" ht="15">
      <c r="A1684" s="159"/>
      <c r="B1684" s="143"/>
      <c r="C1684" s="205" t="s">
        <v>938</v>
      </c>
      <c r="D1684" s="162"/>
      <c r="E1684" s="163"/>
      <c r="F1684" s="159"/>
      <c r="G1684" s="164"/>
      <c r="H1684" s="204" t="s">
        <v>940</v>
      </c>
      <c r="I1684" s="211">
        <v>2024</v>
      </c>
      <c r="J1684" s="208">
        <v>3882</v>
      </c>
      <c r="K1684" s="159"/>
      <c r="L1684" s="204" t="s">
        <v>942</v>
      </c>
    </row>
    <row r="1685" spans="1:12" ht="15">
      <c r="A1685" s="159"/>
      <c r="B1685" s="143"/>
      <c r="C1685" s="205" t="s">
        <v>938</v>
      </c>
      <c r="D1685" s="162"/>
      <c r="E1685" s="163"/>
      <c r="F1685" s="159"/>
      <c r="G1685" s="164"/>
      <c r="H1685" s="204" t="s">
        <v>940</v>
      </c>
      <c r="I1685" s="211">
        <v>2024</v>
      </c>
      <c r="J1685" s="208">
        <v>3370</v>
      </c>
      <c r="K1685" s="159"/>
      <c r="L1685" s="204" t="s">
        <v>942</v>
      </c>
    </row>
    <row r="1686" spans="1:12" ht="15">
      <c r="A1686" s="159"/>
      <c r="B1686" s="143"/>
      <c r="C1686" s="205" t="s">
        <v>938</v>
      </c>
      <c r="D1686" s="162"/>
      <c r="E1686" s="163"/>
      <c r="F1686" s="159"/>
      <c r="G1686" s="164"/>
      <c r="H1686" s="204" t="s">
        <v>940</v>
      </c>
      <c r="I1686" s="211">
        <v>2024</v>
      </c>
      <c r="J1686" s="208">
        <v>2854</v>
      </c>
      <c r="K1686" s="159"/>
      <c r="L1686" s="204" t="s">
        <v>942</v>
      </c>
    </row>
    <row r="1687" spans="1:12" ht="15">
      <c r="A1687" s="159"/>
      <c r="B1687" s="143"/>
      <c r="C1687" s="205" t="s">
        <v>938</v>
      </c>
      <c r="D1687" s="162"/>
      <c r="E1687" s="163"/>
      <c r="F1687" s="159"/>
      <c r="G1687" s="164"/>
      <c r="H1687" s="204" t="s">
        <v>940</v>
      </c>
      <c r="I1687" s="211">
        <v>2024</v>
      </c>
      <c r="J1687" s="208">
        <v>3882</v>
      </c>
      <c r="K1687" s="159"/>
      <c r="L1687" s="204" t="s">
        <v>942</v>
      </c>
    </row>
    <row r="1688" spans="1:12" ht="15">
      <c r="A1688" s="159"/>
      <c r="B1688" s="143"/>
      <c r="C1688" s="205" t="s">
        <v>938</v>
      </c>
      <c r="D1688" s="162"/>
      <c r="E1688" s="163"/>
      <c r="F1688" s="159"/>
      <c r="G1688" s="164"/>
      <c r="H1688" s="204" t="s">
        <v>940</v>
      </c>
      <c r="I1688" s="211">
        <v>2024</v>
      </c>
      <c r="J1688" s="208">
        <v>3882</v>
      </c>
      <c r="K1688" s="159"/>
      <c r="L1688" s="204" t="s">
        <v>942</v>
      </c>
    </row>
    <row r="1689" spans="1:12" ht="15">
      <c r="A1689" s="159"/>
      <c r="B1689" s="143"/>
      <c r="C1689" s="205" t="s">
        <v>938</v>
      </c>
      <c r="D1689" s="162"/>
      <c r="E1689" s="163"/>
      <c r="F1689" s="159"/>
      <c r="G1689" s="164"/>
      <c r="H1689" s="204" t="s">
        <v>940</v>
      </c>
      <c r="I1689" s="211">
        <v>2024</v>
      </c>
      <c r="J1689" s="208">
        <v>3370</v>
      </c>
      <c r="K1689" s="159"/>
      <c r="L1689" s="204" t="s">
        <v>942</v>
      </c>
    </row>
    <row r="1690" spans="1:12" ht="15">
      <c r="A1690" s="159"/>
      <c r="B1690" s="143"/>
      <c r="C1690" s="205" t="s">
        <v>938</v>
      </c>
      <c r="D1690" s="162"/>
      <c r="E1690" s="163"/>
      <c r="F1690" s="159"/>
      <c r="G1690" s="164"/>
      <c r="H1690" s="204" t="s">
        <v>940</v>
      </c>
      <c r="I1690" s="211">
        <v>2024</v>
      </c>
      <c r="J1690" s="208">
        <v>5596</v>
      </c>
      <c r="K1690" s="159"/>
      <c r="L1690" s="204" t="s">
        <v>942</v>
      </c>
    </row>
    <row r="1691" spans="1:12" ht="15">
      <c r="A1691" s="159"/>
      <c r="B1691" s="143"/>
      <c r="C1691" s="205" t="s">
        <v>938</v>
      </c>
      <c r="D1691" s="162"/>
      <c r="E1691" s="163"/>
      <c r="F1691" s="159"/>
      <c r="G1691" s="164"/>
      <c r="H1691" s="204" t="s">
        <v>940</v>
      </c>
      <c r="I1691" s="211">
        <v>2024</v>
      </c>
      <c r="J1691" s="208">
        <v>3882</v>
      </c>
      <c r="K1691" s="159"/>
      <c r="L1691" s="204" t="s">
        <v>942</v>
      </c>
    </row>
    <row r="1692" spans="1:12" ht="15">
      <c r="A1692" s="159"/>
      <c r="B1692" s="143"/>
      <c r="C1692" s="205" t="s">
        <v>938</v>
      </c>
      <c r="D1692" s="162"/>
      <c r="E1692" s="163"/>
      <c r="F1692" s="159"/>
      <c r="G1692" s="164"/>
      <c r="H1692" s="204" t="s">
        <v>940</v>
      </c>
      <c r="I1692" s="211">
        <v>2024</v>
      </c>
      <c r="J1692" s="208">
        <v>3882</v>
      </c>
      <c r="K1692" s="159"/>
      <c r="L1692" s="204" t="s">
        <v>942</v>
      </c>
    </row>
    <row r="1693" spans="1:12" ht="15">
      <c r="A1693" s="159"/>
      <c r="B1693" s="143"/>
      <c r="C1693" s="205" t="s">
        <v>938</v>
      </c>
      <c r="D1693" s="162"/>
      <c r="E1693" s="163"/>
      <c r="F1693" s="159"/>
      <c r="G1693" s="164"/>
      <c r="H1693" s="204" t="s">
        <v>940</v>
      </c>
      <c r="I1693" s="211">
        <v>2024</v>
      </c>
      <c r="J1693" s="208">
        <v>3882</v>
      </c>
      <c r="K1693" s="159"/>
      <c r="L1693" s="204" t="s">
        <v>942</v>
      </c>
    </row>
    <row r="1694" spans="1:12" ht="15">
      <c r="A1694" s="159"/>
      <c r="B1694" s="143"/>
      <c r="C1694" s="205" t="s">
        <v>938</v>
      </c>
      <c r="D1694" s="162"/>
      <c r="E1694" s="163"/>
      <c r="F1694" s="159"/>
      <c r="G1694" s="164"/>
      <c r="H1694" s="204" t="s">
        <v>940</v>
      </c>
      <c r="I1694" s="211">
        <v>2024</v>
      </c>
      <c r="J1694" s="208">
        <v>3882</v>
      </c>
      <c r="K1694" s="159"/>
      <c r="L1694" s="204" t="s">
        <v>942</v>
      </c>
    </row>
    <row r="1695" spans="1:12" ht="15">
      <c r="A1695" s="159"/>
      <c r="B1695" s="143"/>
      <c r="C1695" s="205" t="s">
        <v>938</v>
      </c>
      <c r="D1695" s="162"/>
      <c r="E1695" s="163"/>
      <c r="F1695" s="159"/>
      <c r="G1695" s="164"/>
      <c r="H1695" s="204" t="s">
        <v>940</v>
      </c>
      <c r="I1695" s="211">
        <v>2024</v>
      </c>
      <c r="J1695" s="208">
        <v>3882</v>
      </c>
      <c r="K1695" s="159"/>
      <c r="L1695" s="204" t="s">
        <v>942</v>
      </c>
    </row>
    <row r="1696" spans="1:12" ht="15">
      <c r="A1696" s="159"/>
      <c r="B1696" s="143"/>
      <c r="C1696" s="205" t="s">
        <v>938</v>
      </c>
      <c r="D1696" s="162"/>
      <c r="E1696" s="163"/>
      <c r="F1696" s="159"/>
      <c r="G1696" s="164"/>
      <c r="H1696" s="204" t="s">
        <v>940</v>
      </c>
      <c r="I1696" s="211">
        <v>2024</v>
      </c>
      <c r="J1696" s="208">
        <v>4162</v>
      </c>
      <c r="K1696" s="159"/>
      <c r="L1696" s="204" t="s">
        <v>942</v>
      </c>
    </row>
    <row r="1697" spans="1:12" ht="15">
      <c r="A1697" s="159"/>
      <c r="B1697" s="143"/>
      <c r="C1697" s="205" t="s">
        <v>938</v>
      </c>
      <c r="D1697" s="162"/>
      <c r="E1697" s="163"/>
      <c r="F1697" s="159"/>
      <c r="G1697" s="164"/>
      <c r="H1697" s="204" t="s">
        <v>940</v>
      </c>
      <c r="I1697" s="211">
        <v>2024</v>
      </c>
      <c r="J1697" s="208">
        <v>3882</v>
      </c>
      <c r="K1697" s="159"/>
      <c r="L1697" s="204" t="s">
        <v>942</v>
      </c>
    </row>
    <row r="1698" spans="1:12" ht="15">
      <c r="A1698" s="159"/>
      <c r="B1698" s="143"/>
      <c r="C1698" s="205" t="s">
        <v>938</v>
      </c>
      <c r="D1698" s="162"/>
      <c r="E1698" s="163"/>
      <c r="F1698" s="159"/>
      <c r="G1698" s="164"/>
      <c r="H1698" s="204" t="s">
        <v>940</v>
      </c>
      <c r="I1698" s="211">
        <v>2024</v>
      </c>
      <c r="J1698" s="208">
        <v>3882</v>
      </c>
      <c r="K1698" s="159"/>
      <c r="L1698" s="204" t="s">
        <v>942</v>
      </c>
    </row>
    <row r="1699" spans="1:12" ht="15">
      <c r="A1699" s="159"/>
      <c r="B1699" s="143"/>
      <c r="C1699" s="205" t="s">
        <v>938</v>
      </c>
      <c r="D1699" s="162"/>
      <c r="E1699" s="163"/>
      <c r="F1699" s="159"/>
      <c r="G1699" s="164"/>
      <c r="H1699" s="204" t="s">
        <v>940</v>
      </c>
      <c r="I1699" s="211">
        <v>2024</v>
      </c>
      <c r="J1699" s="208">
        <v>3882</v>
      </c>
      <c r="K1699" s="159"/>
      <c r="L1699" s="204" t="s">
        <v>942</v>
      </c>
    </row>
    <row r="1700" spans="1:12" ht="15">
      <c r="A1700" s="159"/>
      <c r="B1700" s="143"/>
      <c r="C1700" s="205" t="s">
        <v>938</v>
      </c>
      <c r="D1700" s="162"/>
      <c r="E1700" s="163"/>
      <c r="F1700" s="159"/>
      <c r="G1700" s="164"/>
      <c r="H1700" s="204" t="s">
        <v>940</v>
      </c>
      <c r="I1700" s="211">
        <v>2024</v>
      </c>
      <c r="J1700" s="208">
        <v>4162</v>
      </c>
      <c r="K1700" s="159"/>
      <c r="L1700" s="204" t="s">
        <v>942</v>
      </c>
    </row>
    <row r="1701" spans="1:12" ht="15">
      <c r="A1701" s="159"/>
      <c r="B1701" s="143"/>
      <c r="C1701" s="205" t="s">
        <v>938</v>
      </c>
      <c r="D1701" s="162"/>
      <c r="E1701" s="163"/>
      <c r="F1701" s="159"/>
      <c r="G1701" s="164"/>
      <c r="H1701" s="204" t="s">
        <v>940</v>
      </c>
      <c r="I1701" s="211">
        <v>2024</v>
      </c>
      <c r="J1701" s="208">
        <v>3882</v>
      </c>
      <c r="K1701" s="159"/>
      <c r="L1701" s="204" t="s">
        <v>942</v>
      </c>
    </row>
    <row r="1702" spans="1:12" ht="15">
      <c r="A1702" s="159"/>
      <c r="B1702" s="143"/>
      <c r="C1702" s="205" t="s">
        <v>938</v>
      </c>
      <c r="D1702" s="162"/>
      <c r="E1702" s="163"/>
      <c r="F1702" s="159"/>
      <c r="G1702" s="164"/>
      <c r="H1702" s="204" t="s">
        <v>940</v>
      </c>
      <c r="I1702" s="211">
        <v>2024</v>
      </c>
      <c r="J1702" s="208">
        <v>4162</v>
      </c>
      <c r="K1702" s="159"/>
      <c r="L1702" s="204" t="s">
        <v>942</v>
      </c>
    </row>
    <row r="1703" spans="1:12" ht="15">
      <c r="A1703" s="159"/>
      <c r="B1703" s="143"/>
      <c r="C1703" s="205" t="s">
        <v>938</v>
      </c>
      <c r="D1703" s="162"/>
      <c r="E1703" s="163"/>
      <c r="F1703" s="159"/>
      <c r="G1703" s="164"/>
      <c r="H1703" s="204" t="s">
        <v>940</v>
      </c>
      <c r="I1703" s="211">
        <v>2024</v>
      </c>
      <c r="J1703" s="208">
        <v>3882</v>
      </c>
      <c r="K1703" s="159"/>
      <c r="L1703" s="204" t="s">
        <v>942</v>
      </c>
    </row>
    <row r="1704" spans="1:12" ht="15">
      <c r="A1704" s="159"/>
      <c r="B1704" s="143"/>
      <c r="C1704" s="205" t="s">
        <v>938</v>
      </c>
      <c r="D1704" s="162"/>
      <c r="E1704" s="163"/>
      <c r="F1704" s="159"/>
      <c r="G1704" s="164"/>
      <c r="H1704" s="204" t="s">
        <v>940</v>
      </c>
      <c r="I1704" s="211">
        <v>2024</v>
      </c>
      <c r="J1704" s="208">
        <v>3882</v>
      </c>
      <c r="K1704" s="159"/>
      <c r="L1704" s="204" t="s">
        <v>942</v>
      </c>
    </row>
    <row r="1705" spans="1:12" ht="15">
      <c r="A1705" s="159"/>
      <c r="B1705" s="143"/>
      <c r="C1705" s="205" t="s">
        <v>938</v>
      </c>
      <c r="D1705" s="162"/>
      <c r="E1705" s="163"/>
      <c r="F1705" s="159"/>
      <c r="G1705" s="164"/>
      <c r="H1705" s="204" t="s">
        <v>940</v>
      </c>
      <c r="I1705" s="211">
        <v>2024</v>
      </c>
      <c r="J1705" s="208">
        <v>2854</v>
      </c>
      <c r="K1705" s="159"/>
      <c r="L1705" s="204" t="s">
        <v>942</v>
      </c>
    </row>
    <row r="1706" spans="1:12" ht="15">
      <c r="A1706" s="159"/>
      <c r="B1706" s="143"/>
      <c r="C1706" s="205" t="s">
        <v>938</v>
      </c>
      <c r="D1706" s="162"/>
      <c r="E1706" s="163"/>
      <c r="F1706" s="159"/>
      <c r="G1706" s="164"/>
      <c r="H1706" s="204" t="s">
        <v>940</v>
      </c>
      <c r="I1706" s="211">
        <v>2024</v>
      </c>
      <c r="J1706" s="208">
        <v>5290</v>
      </c>
      <c r="K1706" s="159"/>
      <c r="L1706" s="204" t="s">
        <v>942</v>
      </c>
    </row>
    <row r="1707" spans="1:12" ht="15">
      <c r="A1707" s="159"/>
      <c r="B1707" s="143"/>
      <c r="C1707" s="205" t="s">
        <v>938</v>
      </c>
      <c r="D1707" s="162"/>
      <c r="E1707" s="163"/>
      <c r="F1707" s="159"/>
      <c r="G1707" s="164"/>
      <c r="H1707" s="204" t="s">
        <v>940</v>
      </c>
      <c r="I1707" s="211">
        <v>2024</v>
      </c>
      <c r="J1707" s="208">
        <v>3882</v>
      </c>
      <c r="K1707" s="159"/>
      <c r="L1707" s="204" t="s">
        <v>942</v>
      </c>
    </row>
    <row r="1708" spans="1:12" ht="15">
      <c r="A1708" s="159"/>
      <c r="B1708" s="143"/>
      <c r="C1708" s="205" t="s">
        <v>938</v>
      </c>
      <c r="D1708" s="162"/>
      <c r="E1708" s="163"/>
      <c r="F1708" s="159"/>
      <c r="G1708" s="164"/>
      <c r="H1708" s="204" t="s">
        <v>940</v>
      </c>
      <c r="I1708" s="211">
        <v>2024</v>
      </c>
      <c r="J1708" s="208">
        <v>4162</v>
      </c>
      <c r="K1708" s="159"/>
      <c r="L1708" s="204" t="s">
        <v>942</v>
      </c>
    </row>
    <row r="1709" spans="1:12" ht="15">
      <c r="A1709" s="159"/>
      <c r="B1709" s="143"/>
      <c r="C1709" s="205" t="s">
        <v>938</v>
      </c>
      <c r="D1709" s="162"/>
      <c r="E1709" s="163"/>
      <c r="F1709" s="159"/>
      <c r="G1709" s="164"/>
      <c r="H1709" s="204" t="s">
        <v>940</v>
      </c>
      <c r="I1709" s="211">
        <v>2024</v>
      </c>
      <c r="J1709" s="208">
        <v>3882</v>
      </c>
      <c r="K1709" s="159"/>
      <c r="L1709" s="204" t="s">
        <v>942</v>
      </c>
    </row>
    <row r="1710" spans="1:12" ht="15">
      <c r="A1710" s="159"/>
      <c r="B1710" s="143"/>
      <c r="C1710" s="205" t="s">
        <v>938</v>
      </c>
      <c r="D1710" s="162"/>
      <c r="E1710" s="163"/>
      <c r="F1710" s="159"/>
      <c r="G1710" s="164"/>
      <c r="H1710" s="204" t="s">
        <v>940</v>
      </c>
      <c r="I1710" s="211">
        <v>2024</v>
      </c>
      <c r="J1710" s="208">
        <v>4779</v>
      </c>
      <c r="K1710" s="159"/>
      <c r="L1710" s="204" t="s">
        <v>942</v>
      </c>
    </row>
    <row r="1711" spans="1:12" ht="15">
      <c r="A1711" s="159"/>
      <c r="B1711" s="143"/>
      <c r="C1711" s="205" t="s">
        <v>938</v>
      </c>
      <c r="D1711" s="162"/>
      <c r="E1711" s="163"/>
      <c r="F1711" s="159"/>
      <c r="G1711" s="164"/>
      <c r="H1711" s="204" t="s">
        <v>940</v>
      </c>
      <c r="I1711" s="211">
        <v>2024</v>
      </c>
      <c r="J1711" s="208">
        <v>4162</v>
      </c>
      <c r="K1711" s="159"/>
      <c r="L1711" s="204" t="s">
        <v>942</v>
      </c>
    </row>
    <row r="1712" spans="1:12" ht="15">
      <c r="A1712" s="159"/>
      <c r="B1712" s="143"/>
      <c r="C1712" s="205" t="s">
        <v>938</v>
      </c>
      <c r="D1712" s="162"/>
      <c r="E1712" s="163"/>
      <c r="F1712" s="159"/>
      <c r="G1712" s="164"/>
      <c r="H1712" s="204" t="s">
        <v>940</v>
      </c>
      <c r="I1712" s="211">
        <v>2024</v>
      </c>
      <c r="J1712" s="208">
        <v>4162</v>
      </c>
      <c r="K1712" s="159"/>
      <c r="L1712" s="204" t="s">
        <v>942</v>
      </c>
    </row>
    <row r="1713" spans="1:14" ht="15">
      <c r="A1713" s="159"/>
      <c r="B1713" s="143"/>
      <c r="C1713" s="205" t="s">
        <v>938</v>
      </c>
      <c r="D1713" s="162"/>
      <c r="E1713" s="163"/>
      <c r="F1713" s="159"/>
      <c r="G1713" s="164"/>
      <c r="H1713" s="204" t="s">
        <v>940</v>
      </c>
      <c r="I1713" s="211">
        <v>2024</v>
      </c>
      <c r="J1713" s="208">
        <v>3882</v>
      </c>
      <c r="K1713" s="159"/>
      <c r="L1713" s="204" t="s">
        <v>942</v>
      </c>
    </row>
    <row r="1714" spans="1:14" ht="15">
      <c r="A1714" s="159"/>
      <c r="B1714" s="143"/>
      <c r="C1714" s="205" t="s">
        <v>938</v>
      </c>
      <c r="D1714" s="162"/>
      <c r="E1714" s="163"/>
      <c r="F1714" s="159"/>
      <c r="G1714" s="164"/>
      <c r="H1714" s="204" t="s">
        <v>940</v>
      </c>
      <c r="I1714" s="211">
        <v>2024</v>
      </c>
      <c r="J1714" s="208">
        <v>3882</v>
      </c>
      <c r="K1714" s="159"/>
      <c r="L1714" s="204" t="s">
        <v>942</v>
      </c>
    </row>
    <row r="1715" spans="1:14" ht="15">
      <c r="A1715" s="159"/>
      <c r="B1715" s="143"/>
      <c r="C1715" s="205" t="s">
        <v>938</v>
      </c>
      <c r="D1715" s="162"/>
      <c r="E1715" s="163"/>
      <c r="F1715" s="159"/>
      <c r="G1715" s="164"/>
      <c r="H1715" s="204" t="s">
        <v>940</v>
      </c>
      <c r="I1715" s="211">
        <v>2024</v>
      </c>
      <c r="J1715" s="208">
        <v>4779</v>
      </c>
      <c r="K1715" s="159"/>
      <c r="L1715" s="204" t="s">
        <v>942</v>
      </c>
    </row>
    <row r="1716" spans="1:14" ht="15">
      <c r="A1716" s="159"/>
      <c r="B1716" s="143"/>
      <c r="C1716" s="205" t="s">
        <v>938</v>
      </c>
      <c r="D1716" s="162"/>
      <c r="E1716" s="163"/>
      <c r="F1716" s="159"/>
      <c r="G1716" s="164"/>
      <c r="H1716" s="204" t="s">
        <v>940</v>
      </c>
      <c r="I1716" s="211">
        <v>2024</v>
      </c>
      <c r="J1716" s="208">
        <v>3882</v>
      </c>
      <c r="K1716" s="159"/>
      <c r="L1716" s="204" t="s">
        <v>942</v>
      </c>
    </row>
    <row r="1717" spans="1:14" ht="15">
      <c r="A1717" s="159"/>
      <c r="B1717" s="143"/>
      <c r="C1717" s="205" t="s">
        <v>938</v>
      </c>
      <c r="D1717" s="162"/>
      <c r="E1717" s="163"/>
      <c r="F1717" s="159"/>
      <c r="G1717" s="164"/>
      <c r="H1717" s="204" t="s">
        <v>940</v>
      </c>
      <c r="I1717" s="211">
        <v>2024</v>
      </c>
      <c r="J1717" s="208">
        <v>4162</v>
      </c>
      <c r="K1717" s="159"/>
      <c r="L1717" s="204" t="s">
        <v>942</v>
      </c>
    </row>
    <row r="1718" spans="1:14" ht="15">
      <c r="A1718" s="159"/>
      <c r="B1718" s="143"/>
      <c r="C1718" s="205" t="s">
        <v>938</v>
      </c>
      <c r="D1718" s="162"/>
      <c r="E1718" s="163"/>
      <c r="F1718" s="159"/>
      <c r="G1718" s="164"/>
      <c r="H1718" s="204" t="s">
        <v>940</v>
      </c>
      <c r="I1718" s="211">
        <v>2024</v>
      </c>
      <c r="J1718" s="208">
        <v>3370</v>
      </c>
      <c r="K1718" s="159"/>
      <c r="L1718" s="204" t="s">
        <v>942</v>
      </c>
    </row>
    <row r="1719" spans="1:14" ht="15">
      <c r="A1719" s="159"/>
      <c r="B1719" s="143"/>
      <c r="C1719" s="205" t="s">
        <v>938</v>
      </c>
      <c r="D1719" s="162"/>
      <c r="E1719" s="163"/>
      <c r="F1719" s="159"/>
      <c r="G1719" s="164"/>
      <c r="H1719" s="204" t="s">
        <v>940</v>
      </c>
      <c r="I1719" s="211">
        <v>2024</v>
      </c>
      <c r="J1719" s="208">
        <v>4162</v>
      </c>
      <c r="K1719" s="159"/>
      <c r="L1719" s="204" t="s">
        <v>942</v>
      </c>
    </row>
    <row r="1720" spans="1:14" ht="15">
      <c r="A1720" s="159"/>
      <c r="B1720" s="143"/>
      <c r="C1720" s="205" t="s">
        <v>938</v>
      </c>
      <c r="D1720" s="162"/>
      <c r="E1720" s="163"/>
      <c r="F1720" s="159"/>
      <c r="G1720" s="164"/>
      <c r="H1720" s="204" t="s">
        <v>940</v>
      </c>
      <c r="I1720" s="211">
        <v>2024</v>
      </c>
      <c r="J1720" s="208">
        <v>6142</v>
      </c>
      <c r="K1720" s="159"/>
      <c r="L1720" s="204" t="s">
        <v>942</v>
      </c>
    </row>
    <row r="1721" spans="1:14" ht="15">
      <c r="A1721" s="159"/>
      <c r="B1721" s="143"/>
      <c r="C1721" s="205" t="s">
        <v>938</v>
      </c>
      <c r="D1721" s="162"/>
      <c r="E1721" s="163"/>
      <c r="F1721" s="159"/>
      <c r="G1721" s="164"/>
      <c r="H1721" s="204" t="s">
        <v>940</v>
      </c>
      <c r="I1721" s="211">
        <v>2024</v>
      </c>
      <c r="J1721" s="208">
        <v>4162</v>
      </c>
      <c r="K1721" s="159"/>
      <c r="L1721" s="204" t="s">
        <v>942</v>
      </c>
    </row>
    <row r="1722" spans="1:14" ht="15">
      <c r="A1722" s="159"/>
      <c r="B1722" s="143"/>
      <c r="C1722" s="205" t="s">
        <v>938</v>
      </c>
      <c r="D1722" s="162"/>
      <c r="E1722" s="163"/>
      <c r="F1722" s="159"/>
      <c r="G1722" s="164"/>
      <c r="H1722" s="204" t="s">
        <v>940</v>
      </c>
      <c r="I1722" s="211">
        <v>2024</v>
      </c>
      <c r="J1722" s="208">
        <v>4162</v>
      </c>
      <c r="K1722" s="159"/>
      <c r="L1722" s="204" t="s">
        <v>942</v>
      </c>
    </row>
    <row r="1723" spans="1:14" ht="15">
      <c r="A1723" s="159"/>
      <c r="B1723" s="143"/>
      <c r="C1723" s="205" t="s">
        <v>938</v>
      </c>
      <c r="D1723" s="162"/>
      <c r="E1723" s="163"/>
      <c r="F1723" s="159"/>
      <c r="G1723" s="164"/>
      <c r="H1723" s="204" t="s">
        <v>940</v>
      </c>
      <c r="I1723" s="211">
        <v>2024</v>
      </c>
      <c r="J1723" s="208">
        <v>4162</v>
      </c>
      <c r="K1723" s="159"/>
      <c r="L1723" s="204" t="s">
        <v>942</v>
      </c>
    </row>
    <row r="1724" spans="1:14" ht="15">
      <c r="A1724" s="159"/>
      <c r="B1724" s="143"/>
      <c r="C1724" s="205" t="s">
        <v>938</v>
      </c>
      <c r="D1724" s="162"/>
      <c r="E1724" s="163"/>
      <c r="F1724" s="159"/>
      <c r="G1724" s="164"/>
      <c r="H1724" s="204" t="s">
        <v>940</v>
      </c>
      <c r="I1724" s="211">
        <v>2024</v>
      </c>
      <c r="J1724" s="208">
        <v>4162</v>
      </c>
      <c r="K1724" s="159"/>
      <c r="L1724" s="204" t="s">
        <v>942</v>
      </c>
    </row>
    <row r="1725" spans="1:14" ht="15">
      <c r="A1725" s="159"/>
      <c r="B1725" s="143"/>
      <c r="C1725" s="205" t="s">
        <v>938</v>
      </c>
      <c r="D1725" s="162"/>
      <c r="E1725" s="163"/>
      <c r="F1725" s="159"/>
      <c r="G1725" s="164"/>
      <c r="H1725" s="204" t="s">
        <v>940</v>
      </c>
      <c r="I1725" s="211">
        <v>2024</v>
      </c>
      <c r="J1725" s="208">
        <v>2854</v>
      </c>
      <c r="K1725" s="159"/>
      <c r="L1725" s="204" t="s">
        <v>942</v>
      </c>
    </row>
    <row r="1726" spans="1:14">
      <c r="A1726" s="159"/>
      <c r="B1726" s="143"/>
      <c r="C1726" s="166"/>
      <c r="D1726" s="162"/>
      <c r="E1726" s="163"/>
      <c r="F1726" s="159"/>
      <c r="G1726" s="164"/>
      <c r="H1726" s="178"/>
      <c r="I1726" s="159"/>
      <c r="J1726" s="212">
        <f>SUM(J257:J1725)</f>
        <v>48628410</v>
      </c>
      <c r="K1726" s="159"/>
      <c r="L1726" s="163"/>
    </row>
    <row r="1727" spans="1:14">
      <c r="A1727" s="159"/>
      <c r="B1727" s="143"/>
      <c r="C1727" s="166"/>
      <c r="D1727" s="162"/>
      <c r="E1727" s="163"/>
      <c r="F1727" s="159"/>
      <c r="G1727" s="164"/>
      <c r="H1727" s="168"/>
      <c r="I1727" s="159"/>
      <c r="J1727" s="156"/>
      <c r="K1727" s="159"/>
      <c r="L1727" s="163"/>
    </row>
    <row r="1728" spans="1:14" s="157" customFormat="1">
      <c r="A1728" s="150" t="s">
        <v>417</v>
      </c>
      <c r="B1728" s="151" t="s">
        <v>212</v>
      </c>
      <c r="C1728" s="152"/>
      <c r="D1728" s="153"/>
      <c r="E1728" s="154"/>
      <c r="F1728" s="150"/>
      <c r="G1728" s="155"/>
      <c r="H1728" s="177"/>
      <c r="I1728" s="150"/>
      <c r="J1728" s="156">
        <v>0</v>
      </c>
      <c r="K1728" s="150"/>
      <c r="L1728" s="154"/>
      <c r="N1728" s="158"/>
    </row>
    <row r="1729" spans="1:14" s="157" customFormat="1">
      <c r="A1729" s="150"/>
      <c r="B1729" s="179" t="s">
        <v>418</v>
      </c>
      <c r="C1729" s="152"/>
      <c r="D1729" s="153"/>
      <c r="E1729" s="154"/>
      <c r="F1729" s="150"/>
      <c r="G1729" s="155"/>
      <c r="H1729" s="177"/>
      <c r="I1729" s="150"/>
      <c r="J1729" s="156"/>
      <c r="K1729" s="150"/>
      <c r="L1729" s="154"/>
      <c r="N1729" s="158"/>
    </row>
    <row r="1730" spans="1:14" s="157" customFormat="1">
      <c r="A1730" s="150"/>
      <c r="B1730" s="179"/>
      <c r="C1730" s="152"/>
      <c r="D1730" s="153"/>
      <c r="E1730" s="154"/>
      <c r="F1730" s="150"/>
      <c r="G1730" s="155"/>
      <c r="H1730" s="177"/>
      <c r="I1730" s="150"/>
      <c r="J1730" s="156"/>
      <c r="K1730" s="150"/>
      <c r="L1730" s="154"/>
      <c r="N1730" s="158"/>
    </row>
    <row r="1731" spans="1:14" s="157" customFormat="1">
      <c r="A1731" s="150" t="s">
        <v>417</v>
      </c>
      <c r="B1731" s="151" t="s">
        <v>419</v>
      </c>
      <c r="C1731" s="152"/>
      <c r="D1731" s="153"/>
      <c r="E1731" s="154"/>
      <c r="F1731" s="150"/>
      <c r="G1731" s="155"/>
      <c r="H1731" s="177"/>
      <c r="I1731" s="150"/>
      <c r="J1731" s="156"/>
      <c r="K1731" s="150"/>
      <c r="L1731" s="154"/>
      <c r="N1731" s="158"/>
    </row>
    <row r="1732" spans="1:14" s="157" customFormat="1">
      <c r="A1732" s="150"/>
      <c r="B1732" s="179" t="s">
        <v>420</v>
      </c>
      <c r="C1732" s="152"/>
      <c r="D1732" s="153"/>
      <c r="E1732" s="154"/>
      <c r="F1732" s="150"/>
      <c r="G1732" s="155"/>
      <c r="H1732" s="177"/>
      <c r="I1732" s="150"/>
      <c r="J1732" s="156"/>
      <c r="K1732" s="150"/>
      <c r="L1732" s="154"/>
      <c r="N1732" s="158"/>
    </row>
    <row r="1733" spans="1:14">
      <c r="A1733" s="159"/>
      <c r="B1733" s="143"/>
      <c r="C1733" s="166"/>
      <c r="D1733" s="162"/>
      <c r="E1733" s="163"/>
      <c r="F1733" s="159"/>
      <c r="G1733" s="164"/>
      <c r="H1733" s="168"/>
      <c r="I1733" s="159"/>
      <c r="J1733" s="180"/>
      <c r="K1733" s="159"/>
      <c r="L1733" s="163"/>
    </row>
    <row r="1734" spans="1:14" s="157" customFormat="1" ht="15" customHeight="1">
      <c r="A1734" s="150"/>
      <c r="B1734" s="701" t="s">
        <v>421</v>
      </c>
      <c r="C1734" s="702"/>
      <c r="D1734" s="702"/>
      <c r="E1734" s="702"/>
      <c r="F1734" s="702"/>
      <c r="G1734" s="702"/>
      <c r="H1734" s="702"/>
      <c r="I1734" s="703"/>
      <c r="J1734" s="156">
        <f>SUM(J160,J193,J254,J1726)</f>
        <v>9336525263</v>
      </c>
      <c r="K1734" s="159"/>
      <c r="L1734" s="154"/>
      <c r="N1734" s="158"/>
    </row>
    <row r="1735" spans="1:14" s="183" customFormat="1">
      <c r="A1735" s="181" t="s">
        <v>422</v>
      </c>
      <c r="B1735" s="182"/>
      <c r="I1735" s="181"/>
      <c r="J1735" s="184"/>
      <c r="K1735" s="142"/>
      <c r="N1735" s="185"/>
    </row>
    <row r="1736" spans="1:14" s="183" customFormat="1">
      <c r="A1736" s="181"/>
      <c r="B1736" s="182"/>
      <c r="I1736" s="181"/>
      <c r="J1736" s="184"/>
      <c r="K1736" s="186"/>
      <c r="N1736" s="185"/>
    </row>
    <row r="1737" spans="1:14" s="183" customFormat="1">
      <c r="A1737" s="181"/>
      <c r="B1737" s="182"/>
      <c r="I1737" s="181"/>
      <c r="J1737" s="184"/>
      <c r="K1737" s="186"/>
      <c r="N1737" s="185"/>
    </row>
    <row r="1738" spans="1:14">
      <c r="J1738" s="188"/>
    </row>
    <row r="1739" spans="1:14" ht="15">
      <c r="D1739" s="140" t="s">
        <v>423</v>
      </c>
      <c r="J1739" s="700" t="s">
        <v>945</v>
      </c>
      <c r="K1739" s="700"/>
      <c r="L1739" s="700"/>
    </row>
    <row r="1740" spans="1:14">
      <c r="D1740" s="699" t="s">
        <v>491</v>
      </c>
      <c r="E1740" s="699"/>
      <c r="F1740" s="699"/>
      <c r="J1740" s="186" t="s">
        <v>424</v>
      </c>
    </row>
    <row r="1741" spans="1:14">
      <c r="J1741" s="186"/>
    </row>
    <row r="1742" spans="1:14">
      <c r="J1742" s="186"/>
    </row>
    <row r="1743" spans="1:14">
      <c r="J1743" s="186"/>
    </row>
    <row r="1744" spans="1:14">
      <c r="D1744" s="120" t="s">
        <v>560</v>
      </c>
      <c r="J1744" s="140" t="s">
        <v>946</v>
      </c>
    </row>
  </sheetData>
  <autoFilter ref="A8:L1735" xr:uid="{240D4660-2E3A-467F-BA6A-9A4C634F6EC6}"/>
  <mergeCells count="15">
    <mergeCell ref="D1740:F1740"/>
    <mergeCell ref="J1739:L1739"/>
    <mergeCell ref="K6:K7"/>
    <mergeCell ref="L6:L7"/>
    <mergeCell ref="B1734:I1734"/>
    <mergeCell ref="A1:L1"/>
    <mergeCell ref="A2:L2"/>
    <mergeCell ref="A3:L3"/>
    <mergeCell ref="A4:L4"/>
    <mergeCell ref="A6:A7"/>
    <mergeCell ref="B6:D7"/>
    <mergeCell ref="E6:G6"/>
    <mergeCell ref="H6:H7"/>
    <mergeCell ref="I6:I7"/>
    <mergeCell ref="J6:J7"/>
  </mergeCells>
  <printOptions horizontalCentered="1"/>
  <pageMargins left="0.31496062992125984" right="0.31496062992125984" top="0.94488188976377963" bottom="0.59055118110236227" header="0.31496062992125984" footer="0.31496062992125984"/>
  <pageSetup paperSize="14" scale="80" fitToWidth="0" fitToHeight="0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6A54A-E0F1-4690-B704-783495E52DF0}">
  <sheetPr>
    <tabColor theme="4" tint="0.39997558519241921"/>
  </sheetPr>
  <dimension ref="A1:XFC323"/>
  <sheetViews>
    <sheetView showGridLines="0" tabSelected="1" zoomScale="120" zoomScaleNormal="120" workbookViewId="0">
      <selection activeCell="T227" sqref="T227"/>
    </sheetView>
  </sheetViews>
  <sheetFormatPr defaultColWidth="8.85546875" defaultRowHeight="15"/>
  <cols>
    <col min="1" max="1" width="3.7109375" style="510" customWidth="1"/>
    <col min="2" max="2" width="11.28515625" style="510" customWidth="1"/>
    <col min="3" max="3" width="3.7109375" style="511" customWidth="1"/>
    <col min="4" max="4" width="18" style="316" customWidth="1"/>
    <col min="5" max="5" width="5.5703125" style="510" customWidth="1"/>
    <col min="6" max="6" width="13.140625" style="510" customWidth="1"/>
    <col min="7" max="7" width="14.28515625" style="513" customWidth="1"/>
    <col min="8" max="8" width="9" style="514" customWidth="1"/>
    <col min="9" max="9" width="6.7109375" style="516" customWidth="1"/>
    <col min="10" max="10" width="13.5703125" style="516" customWidth="1"/>
    <col min="11" max="11" width="13.5703125" style="513" customWidth="1"/>
    <col min="12" max="12" width="6.85546875" style="516" customWidth="1"/>
    <col min="13" max="13" width="9.7109375" style="516" customWidth="1"/>
    <col min="14" max="14" width="11.140625" style="513" customWidth="1"/>
    <col min="15" max="15" width="7.42578125" style="516" customWidth="1"/>
    <col min="16" max="16" width="13.7109375" style="513" customWidth="1"/>
    <col min="17" max="17" width="14.140625" style="513" customWidth="1"/>
    <col min="18" max="18" width="13" style="513" customWidth="1"/>
    <col min="19" max="19" width="14.85546875" style="510" customWidth="1"/>
    <col min="20" max="20" width="17.7109375" style="316" customWidth="1"/>
    <col min="21" max="21" width="10.28515625" style="316" customWidth="1"/>
    <col min="22" max="22" width="11.42578125" style="316" customWidth="1"/>
    <col min="23" max="23" width="16.140625" style="316" customWidth="1"/>
    <col min="24" max="24" width="14.28515625" style="316" customWidth="1"/>
    <col min="25" max="25" width="13.42578125" style="316" customWidth="1"/>
    <col min="26" max="16383" width="8.85546875" style="316"/>
  </cols>
  <sheetData>
    <row r="1" spans="1:20" ht="13.7" customHeight="1">
      <c r="A1" s="310"/>
      <c r="B1" s="310"/>
      <c r="C1" s="311"/>
      <c r="D1" s="312"/>
      <c r="E1" s="310"/>
      <c r="F1" s="310"/>
      <c r="G1" s="313"/>
      <c r="H1" s="314"/>
      <c r="I1" s="315"/>
      <c r="J1" s="315"/>
      <c r="K1" s="313"/>
      <c r="L1" s="315"/>
      <c r="M1" s="315"/>
      <c r="N1" s="313"/>
      <c r="O1" s="315"/>
      <c r="P1" s="313"/>
      <c r="Q1" s="313"/>
      <c r="R1" s="313"/>
      <c r="S1" s="310"/>
      <c r="T1" s="312"/>
    </row>
    <row r="2" spans="1:20" ht="16.350000000000001" customHeight="1">
      <c r="A2" s="310"/>
      <c r="B2" s="310"/>
      <c r="C2" s="311"/>
      <c r="D2" s="312"/>
      <c r="E2" s="310"/>
      <c r="F2" s="310"/>
      <c r="G2" s="313"/>
      <c r="H2" s="314"/>
      <c r="I2" s="315"/>
      <c r="J2" s="315"/>
      <c r="K2" s="313"/>
      <c r="L2" s="315"/>
      <c r="M2" s="315"/>
      <c r="N2" s="313"/>
      <c r="O2" s="315"/>
      <c r="P2" s="313"/>
      <c r="Q2" s="313"/>
      <c r="R2" s="313"/>
      <c r="S2" s="310"/>
      <c r="T2" s="317" t="s">
        <v>425</v>
      </c>
    </row>
    <row r="3" spans="1:20">
      <c r="A3" s="711" t="s">
        <v>462</v>
      </c>
      <c r="B3" s="711"/>
      <c r="C3" s="711"/>
      <c r="D3" s="711"/>
      <c r="E3" s="711"/>
      <c r="F3" s="711"/>
      <c r="G3" s="711"/>
      <c r="H3" s="711"/>
      <c r="I3" s="711"/>
      <c r="J3" s="711"/>
      <c r="K3" s="711"/>
      <c r="L3" s="711"/>
      <c r="M3" s="711"/>
      <c r="N3" s="711"/>
      <c r="O3" s="711"/>
      <c r="P3" s="711"/>
      <c r="Q3" s="711"/>
      <c r="R3" s="711"/>
      <c r="S3" s="711"/>
      <c r="T3" s="711"/>
    </row>
    <row r="4" spans="1:20">
      <c r="A4" s="711" t="s">
        <v>1687</v>
      </c>
      <c r="B4" s="711"/>
      <c r="C4" s="711"/>
      <c r="D4" s="711"/>
      <c r="E4" s="711"/>
      <c r="F4" s="711"/>
      <c r="G4" s="711"/>
      <c r="H4" s="711"/>
      <c r="I4" s="711"/>
      <c r="J4" s="711"/>
      <c r="K4" s="711"/>
      <c r="L4" s="711"/>
      <c r="M4" s="711"/>
      <c r="N4" s="711"/>
      <c r="O4" s="711"/>
      <c r="P4" s="711"/>
      <c r="Q4" s="711"/>
      <c r="R4" s="711"/>
      <c r="S4" s="711"/>
      <c r="T4" s="711"/>
    </row>
    <row r="5" spans="1:20">
      <c r="A5" s="312"/>
      <c r="B5" s="312"/>
      <c r="C5" s="311"/>
      <c r="D5" s="312"/>
      <c r="E5" s="310"/>
      <c r="F5" s="310"/>
      <c r="G5" s="313"/>
      <c r="H5" s="314"/>
      <c r="I5" s="315"/>
      <c r="J5" s="315"/>
      <c r="K5" s="313"/>
      <c r="L5" s="315"/>
      <c r="M5" s="315"/>
      <c r="N5" s="313"/>
      <c r="O5" s="315"/>
      <c r="P5" s="313"/>
      <c r="Q5" s="313"/>
      <c r="R5" s="313"/>
      <c r="S5" s="312"/>
      <c r="T5" s="312"/>
    </row>
    <row r="6" spans="1:20" ht="2.65" customHeight="1">
      <c r="A6" s="319"/>
      <c r="B6" s="319"/>
      <c r="C6" s="320"/>
      <c r="D6" s="319"/>
      <c r="E6" s="319"/>
      <c r="F6" s="319"/>
      <c r="G6" s="321"/>
      <c r="H6" s="322"/>
      <c r="I6" s="323"/>
      <c r="J6" s="323"/>
      <c r="K6" s="321"/>
      <c r="L6" s="323"/>
      <c r="M6" s="323"/>
      <c r="N6" s="321"/>
      <c r="O6" s="323"/>
      <c r="P6" s="321"/>
      <c r="Q6" s="321"/>
      <c r="R6" s="321"/>
      <c r="S6" s="319"/>
      <c r="T6" s="324"/>
    </row>
    <row r="7" spans="1:20" ht="24.75" customHeight="1">
      <c r="A7" s="712" t="s">
        <v>384</v>
      </c>
      <c r="B7" s="712" t="s">
        <v>426</v>
      </c>
      <c r="C7" s="715" t="s">
        <v>427</v>
      </c>
      <c r="D7" s="716"/>
      <c r="E7" s="721" t="s">
        <v>463</v>
      </c>
      <c r="F7" s="722"/>
      <c r="G7" s="723"/>
      <c r="H7" s="724" t="s">
        <v>428</v>
      </c>
      <c r="I7" s="727" t="s">
        <v>461</v>
      </c>
      <c r="J7" s="727"/>
      <c r="K7" s="727"/>
      <c r="L7" s="727"/>
      <c r="M7" s="727"/>
      <c r="N7" s="727"/>
      <c r="O7" s="728" t="s">
        <v>460</v>
      </c>
      <c r="P7" s="729"/>
      <c r="Q7" s="715" t="s">
        <v>429</v>
      </c>
      <c r="R7" s="732"/>
      <c r="S7" s="716"/>
      <c r="T7" s="734" t="s">
        <v>403</v>
      </c>
    </row>
    <row r="8" spans="1:20" ht="18" customHeight="1">
      <c r="A8" s="713"/>
      <c r="B8" s="713"/>
      <c r="C8" s="717"/>
      <c r="D8" s="718"/>
      <c r="E8" s="734" t="s">
        <v>430</v>
      </c>
      <c r="F8" s="734" t="s">
        <v>431</v>
      </c>
      <c r="G8" s="737" t="s">
        <v>432</v>
      </c>
      <c r="H8" s="725"/>
      <c r="I8" s="704" t="s">
        <v>433</v>
      </c>
      <c r="J8" s="705"/>
      <c r="K8" s="706"/>
      <c r="L8" s="704" t="s">
        <v>434</v>
      </c>
      <c r="M8" s="705"/>
      <c r="N8" s="706"/>
      <c r="O8" s="730"/>
      <c r="P8" s="731"/>
      <c r="Q8" s="719"/>
      <c r="R8" s="733"/>
      <c r="S8" s="720"/>
      <c r="T8" s="735"/>
    </row>
    <row r="9" spans="1:20" ht="25.5" customHeight="1">
      <c r="A9" s="714"/>
      <c r="B9" s="714"/>
      <c r="C9" s="719"/>
      <c r="D9" s="720"/>
      <c r="E9" s="736"/>
      <c r="F9" s="736"/>
      <c r="G9" s="738"/>
      <c r="H9" s="726"/>
      <c r="I9" s="327" t="s">
        <v>435</v>
      </c>
      <c r="J9" s="327" t="s">
        <v>431</v>
      </c>
      <c r="K9" s="328" t="s">
        <v>432</v>
      </c>
      <c r="L9" s="327" t="s">
        <v>435</v>
      </c>
      <c r="M9" s="327" t="s">
        <v>431</v>
      </c>
      <c r="N9" s="328" t="s">
        <v>432</v>
      </c>
      <c r="O9" s="327" t="s">
        <v>435</v>
      </c>
      <c r="P9" s="328" t="s">
        <v>432</v>
      </c>
      <c r="Q9" s="328" t="s">
        <v>141</v>
      </c>
      <c r="R9" s="328" t="s">
        <v>436</v>
      </c>
      <c r="S9" s="325" t="s">
        <v>437</v>
      </c>
      <c r="T9" s="736"/>
    </row>
    <row r="10" spans="1:20" s="340" customFormat="1" ht="15.6" customHeight="1" thickBot="1">
      <c r="A10" s="329" t="s">
        <v>438</v>
      </c>
      <c r="B10" s="330" t="s">
        <v>439</v>
      </c>
      <c r="C10" s="331"/>
      <c r="D10" s="332" t="s">
        <v>440</v>
      </c>
      <c r="E10" s="332" t="s">
        <v>441</v>
      </c>
      <c r="F10" s="333"/>
      <c r="G10" s="334" t="s">
        <v>442</v>
      </c>
      <c r="H10" s="335" t="s">
        <v>443</v>
      </c>
      <c r="I10" s="336" t="s">
        <v>444</v>
      </c>
      <c r="J10" s="337"/>
      <c r="K10" s="338" t="s">
        <v>445</v>
      </c>
      <c r="L10" s="336" t="s">
        <v>446</v>
      </c>
      <c r="M10" s="337"/>
      <c r="N10" s="338" t="s">
        <v>447</v>
      </c>
      <c r="O10" s="339" t="s">
        <v>448</v>
      </c>
      <c r="P10" s="334" t="s">
        <v>449</v>
      </c>
      <c r="Q10" s="334" t="s">
        <v>450</v>
      </c>
      <c r="R10" s="334" t="s">
        <v>451</v>
      </c>
      <c r="S10" s="329" t="s">
        <v>452</v>
      </c>
      <c r="T10" s="329" t="s">
        <v>453</v>
      </c>
    </row>
    <row r="11" spans="1:20" s="349" customFormat="1" ht="13.7" customHeight="1" thickTop="1">
      <c r="A11" s="341">
        <v>1</v>
      </c>
      <c r="B11" s="342"/>
      <c r="C11" s="343" t="s">
        <v>207</v>
      </c>
      <c r="D11" s="344"/>
      <c r="E11" s="345"/>
      <c r="F11" s="345"/>
      <c r="G11" s="346"/>
      <c r="H11" s="341"/>
      <c r="I11" s="347"/>
      <c r="J11" s="347"/>
      <c r="K11" s="346"/>
      <c r="L11" s="347"/>
      <c r="M11" s="347"/>
      <c r="N11" s="346"/>
      <c r="O11" s="347"/>
      <c r="P11" s="346"/>
      <c r="Q11" s="346"/>
      <c r="R11" s="346"/>
      <c r="S11" s="326"/>
      <c r="T11" s="348"/>
    </row>
    <row r="12" spans="1:20" ht="13.7" customHeight="1">
      <c r="A12" s="350"/>
      <c r="B12" s="351"/>
      <c r="C12" s="352"/>
      <c r="D12" s="353"/>
      <c r="E12" s="354"/>
      <c r="F12" s="354"/>
      <c r="G12" s="355"/>
      <c r="H12" s="356"/>
      <c r="I12" s="357"/>
      <c r="J12" s="357"/>
      <c r="K12" s="355"/>
      <c r="L12" s="357"/>
      <c r="M12" s="357"/>
      <c r="N12" s="355"/>
      <c r="O12" s="357"/>
      <c r="P12" s="355"/>
      <c r="Q12" s="355"/>
      <c r="R12" s="355"/>
      <c r="S12" s="358"/>
      <c r="T12" s="355"/>
    </row>
    <row r="13" spans="1:20" ht="13.7" customHeight="1">
      <c r="A13" s="359"/>
      <c r="B13" s="360"/>
      <c r="C13" s="361"/>
      <c r="D13" s="362"/>
      <c r="E13" s="363"/>
      <c r="F13" s="363"/>
      <c r="G13" s="364"/>
      <c r="H13" s="365"/>
      <c r="I13" s="366"/>
      <c r="J13" s="366"/>
      <c r="K13" s="367"/>
      <c r="L13" s="366"/>
      <c r="M13" s="366"/>
      <c r="N13" s="367"/>
      <c r="O13" s="366"/>
      <c r="P13" s="367"/>
      <c r="Q13" s="364"/>
      <c r="R13" s="367"/>
      <c r="S13" s="368"/>
      <c r="T13" s="369"/>
    </row>
    <row r="14" spans="1:20" s="349" customFormat="1" ht="13.7" customHeight="1">
      <c r="A14" s="370">
        <v>2</v>
      </c>
      <c r="B14" s="371"/>
      <c r="C14" s="372" t="s">
        <v>208</v>
      </c>
      <c r="D14" s="373"/>
      <c r="E14" s="374"/>
      <c r="F14" s="374"/>
      <c r="G14" s="375">
        <f>SUM(G15:G127)</f>
        <v>435980964</v>
      </c>
      <c r="H14" s="370"/>
      <c r="I14" s="376">
        <f>SUM(I15:I127)</f>
        <v>40</v>
      </c>
      <c r="J14" s="376"/>
      <c r="K14" s="376">
        <f>SUM(K15:K127)</f>
        <v>33420000</v>
      </c>
      <c r="L14" s="376">
        <f>SUM(L15:L127)</f>
        <v>0</v>
      </c>
      <c r="M14" s="376"/>
      <c r="N14" s="375">
        <f t="shared" ref="N14:S14" si="0">SUM(N15:N127)</f>
        <v>0</v>
      </c>
      <c r="O14" s="376">
        <f t="shared" si="0"/>
        <v>350</v>
      </c>
      <c r="P14" s="375">
        <f t="shared" si="0"/>
        <v>469400964</v>
      </c>
      <c r="Q14" s="375">
        <f t="shared" si="0"/>
        <v>23600000</v>
      </c>
      <c r="R14" s="375">
        <f t="shared" si="0"/>
        <v>0</v>
      </c>
      <c r="S14" s="375">
        <f t="shared" si="0"/>
        <v>9820000</v>
      </c>
      <c r="T14" s="377"/>
    </row>
    <row r="15" spans="1:20" ht="22.5">
      <c r="A15" s="350"/>
      <c r="B15" s="378" t="s">
        <v>632</v>
      </c>
      <c r="C15" s="352">
        <v>1</v>
      </c>
      <c r="D15" s="379" t="s">
        <v>576</v>
      </c>
      <c r="E15" s="380">
        <v>1</v>
      </c>
      <c r="F15" s="381">
        <v>320000</v>
      </c>
      <c r="G15" s="382">
        <f>E15*F15</f>
        <v>320000</v>
      </c>
      <c r="H15" s="356">
        <v>2006</v>
      </c>
      <c r="I15" s="383">
        <v>0</v>
      </c>
      <c r="J15" s="383">
        <v>0</v>
      </c>
      <c r="K15" s="384">
        <f>I15*J15</f>
        <v>0</v>
      </c>
      <c r="L15" s="383">
        <v>0</v>
      </c>
      <c r="M15" s="385"/>
      <c r="N15" s="384">
        <f>L15*M15</f>
        <v>0</v>
      </c>
      <c r="O15" s="357">
        <f>E15+I15-L15</f>
        <v>1</v>
      </c>
      <c r="P15" s="386">
        <f>G15+K15-N15</f>
        <v>320000</v>
      </c>
      <c r="Q15" s="386"/>
      <c r="R15" s="386"/>
      <c r="S15" s="357"/>
      <c r="T15" s="387" t="s">
        <v>780</v>
      </c>
    </row>
    <row r="16" spans="1:20">
      <c r="A16" s="388"/>
      <c r="B16" s="389" t="s">
        <v>632</v>
      </c>
      <c r="C16" s="390">
        <f>C15+1</f>
        <v>2</v>
      </c>
      <c r="D16" s="391" t="s">
        <v>576</v>
      </c>
      <c r="E16" s="392">
        <v>17</v>
      </c>
      <c r="F16" s="393">
        <v>150000</v>
      </c>
      <c r="G16" s="394">
        <f>E16*F16</f>
        <v>2550000</v>
      </c>
      <c r="H16" s="395">
        <v>2007</v>
      </c>
      <c r="I16" s="383">
        <v>0</v>
      </c>
      <c r="J16" s="383">
        <v>0</v>
      </c>
      <c r="K16" s="396">
        <f>I16*J16</f>
        <v>0</v>
      </c>
      <c r="L16" s="383">
        <v>0</v>
      </c>
      <c r="M16" s="383"/>
      <c r="N16" s="396">
        <f>L16*M16</f>
        <v>0</v>
      </c>
      <c r="O16" s="397">
        <f>E16+I16-L16</f>
        <v>17</v>
      </c>
      <c r="P16" s="398">
        <f>G16+K16-N16</f>
        <v>2550000</v>
      </c>
      <c r="Q16" s="398"/>
      <c r="R16" s="398"/>
      <c r="S16" s="399"/>
      <c r="T16" s="400" t="s">
        <v>781</v>
      </c>
    </row>
    <row r="17" spans="1:20" ht="22.5">
      <c r="A17" s="388"/>
      <c r="B17" s="389" t="s">
        <v>633</v>
      </c>
      <c r="C17" s="390">
        <f t="shared" ref="C17:C80" si="1">C16+1</f>
        <v>3</v>
      </c>
      <c r="D17" s="391" t="s">
        <v>577</v>
      </c>
      <c r="E17" s="392">
        <v>1</v>
      </c>
      <c r="F17" s="393">
        <v>1450000</v>
      </c>
      <c r="G17" s="394">
        <f t="shared" ref="G17:G87" si="2">E17*F17</f>
        <v>1450000</v>
      </c>
      <c r="H17" s="395">
        <v>2007</v>
      </c>
      <c r="I17" s="383">
        <v>0</v>
      </c>
      <c r="J17" s="383">
        <v>0</v>
      </c>
      <c r="K17" s="396">
        <f t="shared" ref="K17:K81" si="3">I17*J17</f>
        <v>0</v>
      </c>
      <c r="L17" s="383">
        <v>0</v>
      </c>
      <c r="M17" s="383"/>
      <c r="N17" s="396">
        <f t="shared" ref="N17:N80" si="4">L17*M17</f>
        <v>0</v>
      </c>
      <c r="O17" s="397">
        <f t="shared" ref="O17:O78" si="5">E17+I17-L17</f>
        <v>1</v>
      </c>
      <c r="P17" s="398">
        <f t="shared" ref="P17:P84" si="6">G17+K17-N17</f>
        <v>1450000</v>
      </c>
      <c r="Q17" s="398"/>
      <c r="R17" s="398"/>
      <c r="S17" s="399"/>
      <c r="T17" s="400" t="s">
        <v>782</v>
      </c>
    </row>
    <row r="18" spans="1:20">
      <c r="A18" s="388"/>
      <c r="B18" s="389" t="s">
        <v>634</v>
      </c>
      <c r="C18" s="390">
        <f t="shared" si="1"/>
        <v>4</v>
      </c>
      <c r="D18" s="391" t="s">
        <v>578</v>
      </c>
      <c r="E18" s="392">
        <v>1</v>
      </c>
      <c r="F18" s="393">
        <v>1900000</v>
      </c>
      <c r="G18" s="394">
        <f t="shared" si="2"/>
        <v>1900000</v>
      </c>
      <c r="H18" s="395" t="s">
        <v>692</v>
      </c>
      <c r="I18" s="383">
        <v>0</v>
      </c>
      <c r="J18" s="383">
        <v>0</v>
      </c>
      <c r="K18" s="396">
        <f t="shared" si="3"/>
        <v>0</v>
      </c>
      <c r="L18" s="383">
        <v>0</v>
      </c>
      <c r="M18" s="383"/>
      <c r="N18" s="396">
        <f t="shared" si="4"/>
        <v>0</v>
      </c>
      <c r="O18" s="397">
        <f t="shared" si="5"/>
        <v>1</v>
      </c>
      <c r="P18" s="398">
        <f t="shared" si="6"/>
        <v>1900000</v>
      </c>
      <c r="Q18" s="398"/>
      <c r="R18" s="398"/>
      <c r="S18" s="399"/>
      <c r="T18" s="400" t="s">
        <v>783</v>
      </c>
    </row>
    <row r="19" spans="1:20">
      <c r="A19" s="388"/>
      <c r="B19" s="389" t="s">
        <v>634</v>
      </c>
      <c r="C19" s="390">
        <f t="shared" si="1"/>
        <v>5</v>
      </c>
      <c r="D19" s="391" t="s">
        <v>578</v>
      </c>
      <c r="E19" s="392">
        <v>1</v>
      </c>
      <c r="F19" s="393">
        <v>1800000</v>
      </c>
      <c r="G19" s="394">
        <f t="shared" si="2"/>
        <v>1800000</v>
      </c>
      <c r="H19" s="395" t="s">
        <v>692</v>
      </c>
      <c r="I19" s="383">
        <v>0</v>
      </c>
      <c r="J19" s="383">
        <v>0</v>
      </c>
      <c r="K19" s="396">
        <f t="shared" si="3"/>
        <v>0</v>
      </c>
      <c r="L19" s="383">
        <v>0</v>
      </c>
      <c r="M19" s="383">
        <v>0</v>
      </c>
      <c r="N19" s="396">
        <f t="shared" si="4"/>
        <v>0</v>
      </c>
      <c r="O19" s="397">
        <f t="shared" si="5"/>
        <v>1</v>
      </c>
      <c r="P19" s="398">
        <f t="shared" si="6"/>
        <v>1800000</v>
      </c>
      <c r="Q19" s="398"/>
      <c r="R19" s="398"/>
      <c r="S19" s="399"/>
      <c r="T19" s="400" t="s">
        <v>784</v>
      </c>
    </row>
    <row r="20" spans="1:20" ht="22.5">
      <c r="A20" s="388"/>
      <c r="B20" s="389" t="s">
        <v>635</v>
      </c>
      <c r="C20" s="390">
        <f t="shared" si="1"/>
        <v>6</v>
      </c>
      <c r="D20" s="391" t="s">
        <v>579</v>
      </c>
      <c r="E20" s="392">
        <v>1</v>
      </c>
      <c r="F20" s="393">
        <v>500000</v>
      </c>
      <c r="G20" s="394">
        <f t="shared" si="2"/>
        <v>500000</v>
      </c>
      <c r="H20" s="395">
        <v>2013</v>
      </c>
      <c r="I20" s="383">
        <v>0</v>
      </c>
      <c r="J20" s="383">
        <v>0</v>
      </c>
      <c r="K20" s="396">
        <f t="shared" si="3"/>
        <v>0</v>
      </c>
      <c r="L20" s="383">
        <v>0</v>
      </c>
      <c r="M20" s="383"/>
      <c r="N20" s="396">
        <f t="shared" si="4"/>
        <v>0</v>
      </c>
      <c r="O20" s="397">
        <f t="shared" si="5"/>
        <v>1</v>
      </c>
      <c r="P20" s="398">
        <f t="shared" si="6"/>
        <v>500000</v>
      </c>
      <c r="Q20" s="398"/>
      <c r="R20" s="398"/>
      <c r="S20" s="399"/>
      <c r="T20" s="400" t="s">
        <v>785</v>
      </c>
    </row>
    <row r="21" spans="1:20" ht="22.5">
      <c r="A21" s="388"/>
      <c r="B21" s="389" t="s">
        <v>636</v>
      </c>
      <c r="C21" s="390">
        <f t="shared" si="1"/>
        <v>7</v>
      </c>
      <c r="D21" s="391" t="s">
        <v>580</v>
      </c>
      <c r="E21" s="392">
        <v>2</v>
      </c>
      <c r="F21" s="393">
        <v>1000000</v>
      </c>
      <c r="G21" s="394">
        <f t="shared" si="2"/>
        <v>2000000</v>
      </c>
      <c r="H21" s="395" t="s">
        <v>693</v>
      </c>
      <c r="I21" s="383">
        <v>0</v>
      </c>
      <c r="J21" s="383">
        <v>0</v>
      </c>
      <c r="K21" s="396">
        <f t="shared" si="3"/>
        <v>0</v>
      </c>
      <c r="L21" s="383">
        <v>0</v>
      </c>
      <c r="M21" s="383"/>
      <c r="N21" s="396">
        <f t="shared" si="4"/>
        <v>0</v>
      </c>
      <c r="O21" s="397">
        <f t="shared" si="5"/>
        <v>2</v>
      </c>
      <c r="P21" s="398">
        <f t="shared" si="6"/>
        <v>2000000</v>
      </c>
      <c r="Q21" s="398"/>
      <c r="R21" s="398"/>
      <c r="S21" s="399"/>
      <c r="T21" s="400" t="s">
        <v>786</v>
      </c>
    </row>
    <row r="22" spans="1:20">
      <c r="A22" s="388"/>
      <c r="B22" s="389" t="s">
        <v>637</v>
      </c>
      <c r="C22" s="390">
        <f t="shared" si="1"/>
        <v>8</v>
      </c>
      <c r="D22" s="391" t="s">
        <v>581</v>
      </c>
      <c r="E22" s="392">
        <v>1</v>
      </c>
      <c r="F22" s="393">
        <v>1800000</v>
      </c>
      <c r="G22" s="394">
        <f t="shared" si="2"/>
        <v>1800000</v>
      </c>
      <c r="H22" s="395">
        <v>2014</v>
      </c>
      <c r="I22" s="383">
        <v>0</v>
      </c>
      <c r="J22" s="383">
        <v>0</v>
      </c>
      <c r="K22" s="396">
        <f t="shared" si="3"/>
        <v>0</v>
      </c>
      <c r="L22" s="383">
        <v>0</v>
      </c>
      <c r="M22" s="383"/>
      <c r="N22" s="396">
        <f t="shared" si="4"/>
        <v>0</v>
      </c>
      <c r="O22" s="397">
        <f t="shared" si="5"/>
        <v>1</v>
      </c>
      <c r="P22" s="398">
        <f t="shared" si="6"/>
        <v>1800000</v>
      </c>
      <c r="Q22" s="398"/>
      <c r="R22" s="398"/>
      <c r="S22" s="399"/>
      <c r="T22" s="400" t="s">
        <v>787</v>
      </c>
    </row>
    <row r="23" spans="1:20" ht="22.5">
      <c r="A23" s="388"/>
      <c r="B23" s="389" t="s">
        <v>638</v>
      </c>
      <c r="C23" s="390">
        <f t="shared" si="1"/>
        <v>9</v>
      </c>
      <c r="D23" s="391" t="s">
        <v>582</v>
      </c>
      <c r="E23" s="392">
        <v>2</v>
      </c>
      <c r="F23" s="393">
        <v>1500000</v>
      </c>
      <c r="G23" s="394">
        <f t="shared" si="2"/>
        <v>3000000</v>
      </c>
      <c r="H23" s="395">
        <v>2014</v>
      </c>
      <c r="I23" s="383">
        <v>0</v>
      </c>
      <c r="J23" s="383">
        <v>0</v>
      </c>
      <c r="K23" s="396">
        <f t="shared" si="3"/>
        <v>0</v>
      </c>
      <c r="L23" s="383">
        <v>0</v>
      </c>
      <c r="M23" s="383">
        <v>0</v>
      </c>
      <c r="N23" s="396">
        <f t="shared" si="4"/>
        <v>0</v>
      </c>
      <c r="O23" s="397">
        <f t="shared" si="5"/>
        <v>2</v>
      </c>
      <c r="P23" s="398">
        <f t="shared" si="6"/>
        <v>3000000</v>
      </c>
      <c r="Q23" s="398"/>
      <c r="R23" s="398"/>
      <c r="S23" s="399"/>
      <c r="T23" s="400" t="s">
        <v>788</v>
      </c>
    </row>
    <row r="24" spans="1:20">
      <c r="A24" s="388"/>
      <c r="B24" s="389" t="s">
        <v>634</v>
      </c>
      <c r="C24" s="390">
        <f t="shared" si="1"/>
        <v>10</v>
      </c>
      <c r="D24" s="391" t="s">
        <v>578</v>
      </c>
      <c r="E24" s="392">
        <v>1</v>
      </c>
      <c r="F24" s="393">
        <v>4000000</v>
      </c>
      <c r="G24" s="394">
        <f t="shared" si="2"/>
        <v>4000000</v>
      </c>
      <c r="H24" s="395">
        <v>2014</v>
      </c>
      <c r="I24" s="383">
        <v>0</v>
      </c>
      <c r="J24" s="383">
        <v>0</v>
      </c>
      <c r="K24" s="396">
        <f t="shared" si="3"/>
        <v>0</v>
      </c>
      <c r="L24" s="383">
        <v>0</v>
      </c>
      <c r="M24" s="383">
        <v>0</v>
      </c>
      <c r="N24" s="396">
        <f t="shared" si="4"/>
        <v>0</v>
      </c>
      <c r="O24" s="397">
        <f t="shared" si="5"/>
        <v>1</v>
      </c>
      <c r="P24" s="398">
        <f t="shared" si="6"/>
        <v>4000000</v>
      </c>
      <c r="Q24" s="398"/>
      <c r="R24" s="398"/>
      <c r="S24" s="399"/>
      <c r="T24" s="400" t="s">
        <v>789</v>
      </c>
    </row>
    <row r="25" spans="1:20">
      <c r="A25" s="388"/>
      <c r="B25" s="389" t="s">
        <v>639</v>
      </c>
      <c r="C25" s="390">
        <f t="shared" si="1"/>
        <v>11</v>
      </c>
      <c r="D25" s="391" t="s">
        <v>583</v>
      </c>
      <c r="E25" s="392">
        <v>1</v>
      </c>
      <c r="F25" s="393">
        <v>9916500</v>
      </c>
      <c r="G25" s="394">
        <f t="shared" si="2"/>
        <v>9916500</v>
      </c>
      <c r="H25" s="395" t="s">
        <v>693</v>
      </c>
      <c r="I25" s="383">
        <v>0</v>
      </c>
      <c r="J25" s="383">
        <v>0</v>
      </c>
      <c r="K25" s="396">
        <f t="shared" si="3"/>
        <v>0</v>
      </c>
      <c r="L25" s="383">
        <v>0</v>
      </c>
      <c r="M25" s="383">
        <v>0</v>
      </c>
      <c r="N25" s="396">
        <f t="shared" si="4"/>
        <v>0</v>
      </c>
      <c r="O25" s="397">
        <f t="shared" si="5"/>
        <v>1</v>
      </c>
      <c r="P25" s="398">
        <f t="shared" si="6"/>
        <v>9916500</v>
      </c>
      <c r="Q25" s="398"/>
      <c r="R25" s="398"/>
      <c r="S25" s="399"/>
      <c r="T25" s="400" t="s">
        <v>790</v>
      </c>
    </row>
    <row r="26" spans="1:20" ht="22.5">
      <c r="A26" s="388"/>
      <c r="B26" s="389" t="s">
        <v>640</v>
      </c>
      <c r="C26" s="390">
        <f t="shared" si="1"/>
        <v>12</v>
      </c>
      <c r="D26" s="391" t="s">
        <v>584</v>
      </c>
      <c r="E26" s="392">
        <v>2</v>
      </c>
      <c r="F26" s="393">
        <v>5000000</v>
      </c>
      <c r="G26" s="394">
        <f t="shared" si="2"/>
        <v>10000000</v>
      </c>
      <c r="H26" s="395" t="s">
        <v>694</v>
      </c>
      <c r="I26" s="383">
        <v>0</v>
      </c>
      <c r="J26" s="383">
        <v>0</v>
      </c>
      <c r="K26" s="396">
        <f t="shared" si="3"/>
        <v>0</v>
      </c>
      <c r="L26" s="383">
        <v>0</v>
      </c>
      <c r="M26" s="383">
        <v>0</v>
      </c>
      <c r="N26" s="396">
        <f t="shared" si="4"/>
        <v>0</v>
      </c>
      <c r="O26" s="397">
        <f t="shared" si="5"/>
        <v>2</v>
      </c>
      <c r="P26" s="398">
        <f t="shared" si="6"/>
        <v>10000000</v>
      </c>
      <c r="Q26" s="398"/>
      <c r="R26" s="398"/>
      <c r="S26" s="399"/>
      <c r="T26" s="400" t="s">
        <v>791</v>
      </c>
    </row>
    <row r="27" spans="1:20">
      <c r="A27" s="388"/>
      <c r="B27" s="389" t="s">
        <v>641</v>
      </c>
      <c r="C27" s="390">
        <f t="shared" si="1"/>
        <v>13</v>
      </c>
      <c r="D27" s="391" t="s">
        <v>585</v>
      </c>
      <c r="E27" s="392">
        <v>2</v>
      </c>
      <c r="F27" s="393">
        <v>4000000</v>
      </c>
      <c r="G27" s="394">
        <f t="shared" si="2"/>
        <v>8000000</v>
      </c>
      <c r="H27" s="395" t="s">
        <v>695</v>
      </c>
      <c r="I27" s="383">
        <v>0</v>
      </c>
      <c r="J27" s="383">
        <v>0</v>
      </c>
      <c r="K27" s="396">
        <f t="shared" si="3"/>
        <v>0</v>
      </c>
      <c r="L27" s="383">
        <v>0</v>
      </c>
      <c r="M27" s="383">
        <v>0</v>
      </c>
      <c r="N27" s="396">
        <f t="shared" si="4"/>
        <v>0</v>
      </c>
      <c r="O27" s="397">
        <f t="shared" si="5"/>
        <v>2</v>
      </c>
      <c r="P27" s="398">
        <f t="shared" si="6"/>
        <v>8000000</v>
      </c>
      <c r="Q27" s="398"/>
      <c r="R27" s="398"/>
      <c r="S27" s="399"/>
      <c r="T27" s="400" t="s">
        <v>792</v>
      </c>
    </row>
    <row r="28" spans="1:20">
      <c r="A28" s="388"/>
      <c r="B28" s="389" t="s">
        <v>642</v>
      </c>
      <c r="C28" s="390">
        <f t="shared" si="1"/>
        <v>14</v>
      </c>
      <c r="D28" s="391" t="s">
        <v>586</v>
      </c>
      <c r="E28" s="392">
        <v>1</v>
      </c>
      <c r="F28" s="393">
        <v>7715000</v>
      </c>
      <c r="G28" s="394">
        <f t="shared" si="2"/>
        <v>7715000</v>
      </c>
      <c r="H28" s="395" t="s">
        <v>696</v>
      </c>
      <c r="I28" s="383">
        <v>0</v>
      </c>
      <c r="J28" s="383">
        <v>0</v>
      </c>
      <c r="K28" s="396">
        <f t="shared" si="3"/>
        <v>0</v>
      </c>
      <c r="L28" s="383">
        <v>0</v>
      </c>
      <c r="M28" s="383">
        <v>0</v>
      </c>
      <c r="N28" s="396">
        <f t="shared" si="4"/>
        <v>0</v>
      </c>
      <c r="O28" s="397">
        <f t="shared" si="5"/>
        <v>1</v>
      </c>
      <c r="P28" s="398">
        <f t="shared" si="6"/>
        <v>7715000</v>
      </c>
      <c r="Q28" s="398"/>
      <c r="R28" s="398"/>
      <c r="S28" s="399"/>
      <c r="T28" s="400" t="s">
        <v>793</v>
      </c>
    </row>
    <row r="29" spans="1:20" ht="22.5">
      <c r="A29" s="388"/>
      <c r="B29" s="389" t="s">
        <v>643</v>
      </c>
      <c r="C29" s="390">
        <f t="shared" si="1"/>
        <v>15</v>
      </c>
      <c r="D29" s="391" t="s">
        <v>587</v>
      </c>
      <c r="E29" s="392">
        <v>2</v>
      </c>
      <c r="F29" s="393">
        <v>2750000</v>
      </c>
      <c r="G29" s="394">
        <f t="shared" si="2"/>
        <v>5500000</v>
      </c>
      <c r="H29" s="395" t="s">
        <v>696</v>
      </c>
      <c r="I29" s="383">
        <v>0</v>
      </c>
      <c r="J29" s="383">
        <v>0</v>
      </c>
      <c r="K29" s="396">
        <f t="shared" si="3"/>
        <v>0</v>
      </c>
      <c r="L29" s="383">
        <v>0</v>
      </c>
      <c r="M29" s="383">
        <v>0</v>
      </c>
      <c r="N29" s="396">
        <f t="shared" si="4"/>
        <v>0</v>
      </c>
      <c r="O29" s="397">
        <f t="shared" si="5"/>
        <v>2</v>
      </c>
      <c r="P29" s="398">
        <f t="shared" si="6"/>
        <v>5500000</v>
      </c>
      <c r="Q29" s="398"/>
      <c r="R29" s="398"/>
      <c r="S29" s="399"/>
      <c r="T29" s="400" t="s">
        <v>794</v>
      </c>
    </row>
    <row r="30" spans="1:20" ht="22.5">
      <c r="A30" s="388"/>
      <c r="B30" s="389" t="s">
        <v>644</v>
      </c>
      <c r="C30" s="390">
        <f t="shared" si="1"/>
        <v>16</v>
      </c>
      <c r="D30" s="391" t="s">
        <v>588</v>
      </c>
      <c r="E30" s="392">
        <v>2</v>
      </c>
      <c r="F30" s="393">
        <v>4000000</v>
      </c>
      <c r="G30" s="394">
        <f t="shared" si="2"/>
        <v>8000000</v>
      </c>
      <c r="H30" s="395" t="s">
        <v>697</v>
      </c>
      <c r="I30" s="383">
        <v>0</v>
      </c>
      <c r="J30" s="383">
        <v>0</v>
      </c>
      <c r="K30" s="396">
        <f t="shared" si="3"/>
        <v>0</v>
      </c>
      <c r="L30" s="383">
        <v>0</v>
      </c>
      <c r="M30" s="383">
        <v>0</v>
      </c>
      <c r="N30" s="396">
        <f t="shared" si="4"/>
        <v>0</v>
      </c>
      <c r="O30" s="397">
        <f t="shared" si="5"/>
        <v>2</v>
      </c>
      <c r="P30" s="398">
        <f t="shared" si="6"/>
        <v>8000000</v>
      </c>
      <c r="Q30" s="398"/>
      <c r="R30" s="398"/>
      <c r="S30" s="399"/>
      <c r="T30" s="400" t="s">
        <v>795</v>
      </c>
    </row>
    <row r="31" spans="1:20" ht="22.5">
      <c r="A31" s="388"/>
      <c r="B31" s="389" t="s">
        <v>643</v>
      </c>
      <c r="C31" s="390">
        <f t="shared" si="1"/>
        <v>17</v>
      </c>
      <c r="D31" s="391" t="s">
        <v>587</v>
      </c>
      <c r="E31" s="392">
        <v>1</v>
      </c>
      <c r="F31" s="393">
        <v>2125000</v>
      </c>
      <c r="G31" s="394">
        <f t="shared" si="2"/>
        <v>2125000</v>
      </c>
      <c r="H31" s="395" t="s">
        <v>698</v>
      </c>
      <c r="I31" s="383">
        <v>0</v>
      </c>
      <c r="J31" s="383">
        <v>0</v>
      </c>
      <c r="K31" s="396">
        <f t="shared" si="3"/>
        <v>0</v>
      </c>
      <c r="L31" s="383">
        <v>0</v>
      </c>
      <c r="M31" s="383">
        <v>0</v>
      </c>
      <c r="N31" s="396">
        <f t="shared" si="4"/>
        <v>0</v>
      </c>
      <c r="O31" s="397">
        <f t="shared" si="5"/>
        <v>1</v>
      </c>
      <c r="P31" s="398">
        <f t="shared" si="6"/>
        <v>2125000</v>
      </c>
      <c r="Q31" s="398"/>
      <c r="R31" s="398"/>
      <c r="S31" s="399"/>
      <c r="T31" s="400" t="s">
        <v>796</v>
      </c>
    </row>
    <row r="32" spans="1:20" ht="22.5">
      <c r="A32" s="388"/>
      <c r="B32" s="389" t="s">
        <v>645</v>
      </c>
      <c r="C32" s="390">
        <f t="shared" si="1"/>
        <v>18</v>
      </c>
      <c r="D32" s="391" t="s">
        <v>454</v>
      </c>
      <c r="E32" s="392">
        <v>6</v>
      </c>
      <c r="F32" s="393">
        <v>450000</v>
      </c>
      <c r="G32" s="394">
        <f t="shared" si="2"/>
        <v>2700000</v>
      </c>
      <c r="H32" s="395" t="s">
        <v>698</v>
      </c>
      <c r="I32" s="383"/>
      <c r="J32" s="383"/>
      <c r="K32" s="396">
        <f t="shared" si="3"/>
        <v>0</v>
      </c>
      <c r="L32" s="383"/>
      <c r="M32" s="383"/>
      <c r="N32" s="396">
        <f t="shared" si="4"/>
        <v>0</v>
      </c>
      <c r="O32" s="397">
        <f t="shared" si="5"/>
        <v>6</v>
      </c>
      <c r="P32" s="398">
        <f t="shared" si="6"/>
        <v>2700000</v>
      </c>
      <c r="Q32" s="398"/>
      <c r="R32" s="398"/>
      <c r="S32" s="399"/>
      <c r="T32" s="400" t="s">
        <v>797</v>
      </c>
    </row>
    <row r="33" spans="1:20" ht="22.5">
      <c r="A33" s="388"/>
      <c r="B33" s="389" t="s">
        <v>638</v>
      </c>
      <c r="C33" s="390">
        <f t="shared" si="1"/>
        <v>19</v>
      </c>
      <c r="D33" s="391" t="s">
        <v>582</v>
      </c>
      <c r="E33" s="392">
        <v>6</v>
      </c>
      <c r="F33" s="393">
        <v>450000</v>
      </c>
      <c r="G33" s="394">
        <f t="shared" si="2"/>
        <v>2700000</v>
      </c>
      <c r="H33" s="395" t="s">
        <v>698</v>
      </c>
      <c r="I33" s="383">
        <v>0</v>
      </c>
      <c r="J33" s="383">
        <v>0</v>
      </c>
      <c r="K33" s="396">
        <f t="shared" si="3"/>
        <v>0</v>
      </c>
      <c r="L33" s="383">
        <v>0</v>
      </c>
      <c r="M33" s="383">
        <v>0</v>
      </c>
      <c r="N33" s="396">
        <f t="shared" si="4"/>
        <v>0</v>
      </c>
      <c r="O33" s="397">
        <f t="shared" si="5"/>
        <v>6</v>
      </c>
      <c r="P33" s="398">
        <f t="shared" si="6"/>
        <v>2700000</v>
      </c>
      <c r="Q33" s="398"/>
      <c r="R33" s="398"/>
      <c r="S33" s="399"/>
      <c r="T33" s="400" t="s">
        <v>788</v>
      </c>
    </row>
    <row r="34" spans="1:20" ht="22.5">
      <c r="A34" s="388"/>
      <c r="B34" s="389" t="s">
        <v>646</v>
      </c>
      <c r="C34" s="390">
        <f t="shared" si="1"/>
        <v>20</v>
      </c>
      <c r="D34" s="391" t="s">
        <v>589</v>
      </c>
      <c r="E34" s="392">
        <v>7</v>
      </c>
      <c r="F34" s="393">
        <v>158694</v>
      </c>
      <c r="G34" s="394">
        <f t="shared" si="2"/>
        <v>1110858</v>
      </c>
      <c r="H34" s="395" t="s">
        <v>699</v>
      </c>
      <c r="I34" s="383"/>
      <c r="J34" s="383"/>
      <c r="K34" s="396">
        <f t="shared" si="3"/>
        <v>0</v>
      </c>
      <c r="L34" s="383"/>
      <c r="M34" s="383"/>
      <c r="N34" s="396">
        <f t="shared" si="4"/>
        <v>0</v>
      </c>
      <c r="O34" s="397">
        <f t="shared" si="5"/>
        <v>7</v>
      </c>
      <c r="P34" s="398">
        <f t="shared" si="6"/>
        <v>1110858</v>
      </c>
      <c r="Q34" s="398"/>
      <c r="R34" s="398"/>
      <c r="S34" s="399"/>
      <c r="T34" s="400" t="s">
        <v>798</v>
      </c>
    </row>
    <row r="35" spans="1:20" ht="22.5">
      <c r="A35" s="388"/>
      <c r="B35" s="389" t="s">
        <v>646</v>
      </c>
      <c r="C35" s="390">
        <f t="shared" si="1"/>
        <v>21</v>
      </c>
      <c r="D35" s="391" t="s">
        <v>589</v>
      </c>
      <c r="E35" s="392">
        <v>7</v>
      </c>
      <c r="F35" s="393">
        <v>125947</v>
      </c>
      <c r="G35" s="394">
        <f t="shared" si="2"/>
        <v>881629</v>
      </c>
      <c r="H35" s="395" t="s">
        <v>699</v>
      </c>
      <c r="I35" s="383">
        <v>0</v>
      </c>
      <c r="J35" s="383">
        <v>0</v>
      </c>
      <c r="K35" s="396">
        <f t="shared" si="3"/>
        <v>0</v>
      </c>
      <c r="L35" s="383">
        <v>0</v>
      </c>
      <c r="M35" s="383">
        <v>0</v>
      </c>
      <c r="N35" s="396">
        <f t="shared" si="4"/>
        <v>0</v>
      </c>
      <c r="O35" s="397">
        <f t="shared" si="5"/>
        <v>7</v>
      </c>
      <c r="P35" s="398">
        <f t="shared" si="6"/>
        <v>881629</v>
      </c>
      <c r="Q35" s="398"/>
      <c r="R35" s="398"/>
      <c r="S35" s="399"/>
      <c r="T35" s="400" t="s">
        <v>798</v>
      </c>
    </row>
    <row r="36" spans="1:20" ht="22.5">
      <c r="A36" s="388"/>
      <c r="B36" s="389" t="s">
        <v>646</v>
      </c>
      <c r="C36" s="390">
        <f t="shared" si="1"/>
        <v>22</v>
      </c>
      <c r="D36" s="391" t="s">
        <v>589</v>
      </c>
      <c r="E36" s="392">
        <v>2</v>
      </c>
      <c r="F36" s="393">
        <f>183196/2</f>
        <v>91598</v>
      </c>
      <c r="G36" s="394">
        <f t="shared" si="2"/>
        <v>183196</v>
      </c>
      <c r="H36" s="395" t="s">
        <v>699</v>
      </c>
      <c r="I36" s="383">
        <v>0</v>
      </c>
      <c r="J36" s="383">
        <v>0</v>
      </c>
      <c r="K36" s="396">
        <f t="shared" si="3"/>
        <v>0</v>
      </c>
      <c r="L36" s="383"/>
      <c r="M36" s="383"/>
      <c r="N36" s="396">
        <f t="shared" si="4"/>
        <v>0</v>
      </c>
      <c r="O36" s="397">
        <f t="shared" si="5"/>
        <v>2</v>
      </c>
      <c r="P36" s="398">
        <f t="shared" si="6"/>
        <v>183196</v>
      </c>
      <c r="Q36" s="398"/>
      <c r="R36" s="398"/>
      <c r="S36" s="399"/>
      <c r="T36" s="400" t="s">
        <v>798</v>
      </c>
    </row>
    <row r="37" spans="1:20" ht="22.5">
      <c r="A37" s="388"/>
      <c r="B37" s="389" t="s">
        <v>646</v>
      </c>
      <c r="C37" s="390">
        <f t="shared" si="1"/>
        <v>23</v>
      </c>
      <c r="D37" s="391" t="s">
        <v>589</v>
      </c>
      <c r="E37" s="392">
        <v>1</v>
      </c>
      <c r="F37" s="393">
        <v>109917</v>
      </c>
      <c r="G37" s="394">
        <f t="shared" si="2"/>
        <v>109917</v>
      </c>
      <c r="H37" s="395" t="s">
        <v>699</v>
      </c>
      <c r="I37" s="383">
        <v>0</v>
      </c>
      <c r="J37" s="383">
        <v>0</v>
      </c>
      <c r="K37" s="396">
        <f t="shared" si="3"/>
        <v>0</v>
      </c>
      <c r="L37" s="383">
        <v>0</v>
      </c>
      <c r="M37" s="383">
        <v>0</v>
      </c>
      <c r="N37" s="396">
        <f t="shared" si="4"/>
        <v>0</v>
      </c>
      <c r="O37" s="397">
        <f t="shared" si="5"/>
        <v>1</v>
      </c>
      <c r="P37" s="398">
        <f t="shared" si="6"/>
        <v>109917</v>
      </c>
      <c r="Q37" s="398"/>
      <c r="R37" s="398"/>
      <c r="S37" s="399"/>
      <c r="T37" s="400" t="s">
        <v>798</v>
      </c>
    </row>
    <row r="38" spans="1:20" ht="22.5">
      <c r="A38" s="388"/>
      <c r="B38" s="389" t="s">
        <v>646</v>
      </c>
      <c r="C38" s="390">
        <f t="shared" si="1"/>
        <v>24</v>
      </c>
      <c r="D38" s="391" t="s">
        <v>589</v>
      </c>
      <c r="E38" s="392">
        <v>2</v>
      </c>
      <c r="F38" s="393">
        <f>247314/2</f>
        <v>123657</v>
      </c>
      <c r="G38" s="394">
        <f t="shared" si="2"/>
        <v>247314</v>
      </c>
      <c r="H38" s="395" t="s">
        <v>699</v>
      </c>
      <c r="I38" s="383">
        <v>0</v>
      </c>
      <c r="J38" s="383">
        <v>0</v>
      </c>
      <c r="K38" s="396">
        <f t="shared" si="3"/>
        <v>0</v>
      </c>
      <c r="L38" s="383">
        <v>0</v>
      </c>
      <c r="M38" s="383">
        <v>0</v>
      </c>
      <c r="N38" s="396">
        <f t="shared" si="4"/>
        <v>0</v>
      </c>
      <c r="O38" s="397">
        <f t="shared" si="5"/>
        <v>2</v>
      </c>
      <c r="P38" s="398">
        <f t="shared" si="6"/>
        <v>247314</v>
      </c>
      <c r="Q38" s="398"/>
      <c r="R38" s="398"/>
      <c r="S38" s="399"/>
      <c r="T38" s="400" t="s">
        <v>798</v>
      </c>
    </row>
    <row r="39" spans="1:20" ht="22.5">
      <c r="A39" s="388"/>
      <c r="B39" s="389" t="s">
        <v>646</v>
      </c>
      <c r="C39" s="390">
        <f t="shared" si="1"/>
        <v>25</v>
      </c>
      <c r="D39" s="391" t="s">
        <v>589</v>
      </c>
      <c r="E39" s="392">
        <v>8</v>
      </c>
      <c r="F39" s="393">
        <f>1190776/8</f>
        <v>148847</v>
      </c>
      <c r="G39" s="394">
        <f t="shared" si="2"/>
        <v>1190776</v>
      </c>
      <c r="H39" s="395" t="s">
        <v>699</v>
      </c>
      <c r="I39" s="383">
        <v>0</v>
      </c>
      <c r="J39" s="401">
        <v>0</v>
      </c>
      <c r="K39" s="402">
        <f t="shared" si="3"/>
        <v>0</v>
      </c>
      <c r="L39" s="383">
        <v>0</v>
      </c>
      <c r="M39" s="383">
        <v>0</v>
      </c>
      <c r="N39" s="396">
        <f t="shared" si="4"/>
        <v>0</v>
      </c>
      <c r="O39" s="397">
        <f t="shared" si="5"/>
        <v>8</v>
      </c>
      <c r="P39" s="398">
        <f t="shared" si="6"/>
        <v>1190776</v>
      </c>
      <c r="Q39" s="398"/>
      <c r="R39" s="398"/>
      <c r="S39" s="399"/>
      <c r="T39" s="400" t="s">
        <v>798</v>
      </c>
    </row>
    <row r="40" spans="1:20" ht="22.5">
      <c r="A40" s="388"/>
      <c r="B40" s="389" t="s">
        <v>646</v>
      </c>
      <c r="C40" s="390">
        <f t="shared" si="1"/>
        <v>26</v>
      </c>
      <c r="D40" s="391" t="s">
        <v>589</v>
      </c>
      <c r="E40" s="392">
        <v>2</v>
      </c>
      <c r="F40" s="393">
        <f>476310/2</f>
        <v>238155</v>
      </c>
      <c r="G40" s="394">
        <f t="shared" si="2"/>
        <v>476310</v>
      </c>
      <c r="H40" s="395" t="s">
        <v>699</v>
      </c>
      <c r="I40" s="383">
        <v>0</v>
      </c>
      <c r="J40" s="401">
        <v>0</v>
      </c>
      <c r="K40" s="402">
        <v>0</v>
      </c>
      <c r="L40" s="383">
        <v>0</v>
      </c>
      <c r="M40" s="383">
        <v>0</v>
      </c>
      <c r="N40" s="396">
        <f t="shared" si="4"/>
        <v>0</v>
      </c>
      <c r="O40" s="397">
        <f t="shared" si="5"/>
        <v>2</v>
      </c>
      <c r="P40" s="398">
        <f t="shared" si="6"/>
        <v>476310</v>
      </c>
      <c r="Q40" s="398"/>
      <c r="R40" s="398"/>
      <c r="S40" s="399"/>
      <c r="T40" s="400" t="s">
        <v>798</v>
      </c>
    </row>
    <row r="41" spans="1:20" ht="22.5">
      <c r="A41" s="388"/>
      <c r="B41" s="389" t="s">
        <v>640</v>
      </c>
      <c r="C41" s="390">
        <f t="shared" si="1"/>
        <v>27</v>
      </c>
      <c r="D41" s="391" t="s">
        <v>584</v>
      </c>
      <c r="E41" s="392">
        <v>1</v>
      </c>
      <c r="F41" s="393">
        <v>6968750</v>
      </c>
      <c r="G41" s="394">
        <f t="shared" si="2"/>
        <v>6968750</v>
      </c>
      <c r="H41" s="395" t="s">
        <v>700</v>
      </c>
      <c r="I41" s="383">
        <v>0</v>
      </c>
      <c r="J41" s="383">
        <v>0</v>
      </c>
      <c r="K41" s="396">
        <f t="shared" si="3"/>
        <v>0</v>
      </c>
      <c r="L41" s="383">
        <v>0</v>
      </c>
      <c r="M41" s="383">
        <v>0</v>
      </c>
      <c r="N41" s="396">
        <f t="shared" si="4"/>
        <v>0</v>
      </c>
      <c r="O41" s="397">
        <f t="shared" si="5"/>
        <v>1</v>
      </c>
      <c r="P41" s="398">
        <f t="shared" si="6"/>
        <v>6968750</v>
      </c>
      <c r="Q41" s="398"/>
      <c r="R41" s="398"/>
      <c r="S41" s="399"/>
      <c r="T41" s="400" t="s">
        <v>799</v>
      </c>
    </row>
    <row r="42" spans="1:20" ht="33.75">
      <c r="A42" s="388"/>
      <c r="B42" s="389" t="s">
        <v>638</v>
      </c>
      <c r="C42" s="390">
        <f t="shared" si="1"/>
        <v>28</v>
      </c>
      <c r="D42" s="391" t="s">
        <v>582</v>
      </c>
      <c r="E42" s="392">
        <v>14</v>
      </c>
      <c r="F42" s="393">
        <f>8701000/14</f>
        <v>621500</v>
      </c>
      <c r="G42" s="394">
        <f t="shared" si="2"/>
        <v>8701000</v>
      </c>
      <c r="H42" s="395" t="s">
        <v>701</v>
      </c>
      <c r="I42" s="383">
        <v>0</v>
      </c>
      <c r="J42" s="383">
        <v>0</v>
      </c>
      <c r="K42" s="396">
        <f t="shared" si="3"/>
        <v>0</v>
      </c>
      <c r="L42" s="383">
        <v>0</v>
      </c>
      <c r="M42" s="383">
        <v>0</v>
      </c>
      <c r="N42" s="396">
        <f t="shared" si="4"/>
        <v>0</v>
      </c>
      <c r="O42" s="397">
        <f t="shared" si="5"/>
        <v>14</v>
      </c>
      <c r="P42" s="398">
        <f t="shared" si="6"/>
        <v>8701000</v>
      </c>
      <c r="Q42" s="398"/>
      <c r="R42" s="398"/>
      <c r="S42" s="399"/>
      <c r="T42" s="400" t="s">
        <v>800</v>
      </c>
    </row>
    <row r="43" spans="1:20" ht="22.5">
      <c r="A43" s="388"/>
      <c r="B43" s="389" t="s">
        <v>647</v>
      </c>
      <c r="C43" s="390">
        <f t="shared" si="1"/>
        <v>29</v>
      </c>
      <c r="D43" s="391" t="s">
        <v>590</v>
      </c>
      <c r="E43" s="392">
        <v>1</v>
      </c>
      <c r="F43" s="393">
        <v>1243000</v>
      </c>
      <c r="G43" s="394">
        <f t="shared" si="2"/>
        <v>1243000</v>
      </c>
      <c r="H43" s="395" t="s">
        <v>702</v>
      </c>
      <c r="I43" s="383">
        <v>0</v>
      </c>
      <c r="J43" s="383">
        <v>0</v>
      </c>
      <c r="K43" s="396">
        <f t="shared" si="3"/>
        <v>0</v>
      </c>
      <c r="L43" s="383">
        <v>0</v>
      </c>
      <c r="M43" s="383">
        <v>0</v>
      </c>
      <c r="N43" s="396">
        <f t="shared" si="4"/>
        <v>0</v>
      </c>
      <c r="O43" s="397">
        <f t="shared" si="5"/>
        <v>1</v>
      </c>
      <c r="P43" s="398">
        <f t="shared" si="6"/>
        <v>1243000</v>
      </c>
      <c r="Q43" s="398"/>
      <c r="R43" s="398"/>
      <c r="S43" s="399"/>
      <c r="T43" s="400" t="s">
        <v>801</v>
      </c>
    </row>
    <row r="44" spans="1:20" ht="22.5">
      <c r="A44" s="388"/>
      <c r="B44" s="389" t="s">
        <v>648</v>
      </c>
      <c r="C44" s="390">
        <f t="shared" si="1"/>
        <v>30</v>
      </c>
      <c r="D44" s="391" t="s">
        <v>591</v>
      </c>
      <c r="E44" s="392">
        <v>1</v>
      </c>
      <c r="F44" s="393">
        <v>7247500</v>
      </c>
      <c r="G44" s="394">
        <f t="shared" si="2"/>
        <v>7247500</v>
      </c>
      <c r="H44" s="395" t="s">
        <v>703</v>
      </c>
      <c r="I44" s="383">
        <v>0</v>
      </c>
      <c r="J44" s="383">
        <v>0</v>
      </c>
      <c r="K44" s="396">
        <f t="shared" si="3"/>
        <v>0</v>
      </c>
      <c r="L44" s="383">
        <v>0</v>
      </c>
      <c r="M44" s="383">
        <v>0</v>
      </c>
      <c r="N44" s="396">
        <f t="shared" si="4"/>
        <v>0</v>
      </c>
      <c r="O44" s="397">
        <f t="shared" si="5"/>
        <v>1</v>
      </c>
      <c r="P44" s="398">
        <f t="shared" si="6"/>
        <v>7247500</v>
      </c>
      <c r="Q44" s="398"/>
      <c r="R44" s="398"/>
      <c r="S44" s="399"/>
      <c r="T44" s="400" t="s">
        <v>802</v>
      </c>
    </row>
    <row r="45" spans="1:20" ht="22.5">
      <c r="A45" s="388"/>
      <c r="B45" s="389" t="s">
        <v>643</v>
      </c>
      <c r="C45" s="390">
        <f t="shared" si="1"/>
        <v>31</v>
      </c>
      <c r="D45" s="391" t="s">
        <v>587</v>
      </c>
      <c r="E45" s="392">
        <v>1</v>
      </c>
      <c r="F45" s="393">
        <v>4143500</v>
      </c>
      <c r="G45" s="394">
        <f t="shared" si="2"/>
        <v>4143500</v>
      </c>
      <c r="H45" s="395" t="s">
        <v>703</v>
      </c>
      <c r="I45" s="383">
        <v>0</v>
      </c>
      <c r="J45" s="383">
        <v>0</v>
      </c>
      <c r="K45" s="396">
        <f t="shared" si="3"/>
        <v>0</v>
      </c>
      <c r="L45" s="383">
        <v>0</v>
      </c>
      <c r="M45" s="383">
        <v>0</v>
      </c>
      <c r="N45" s="396">
        <f t="shared" si="4"/>
        <v>0</v>
      </c>
      <c r="O45" s="397">
        <f t="shared" si="5"/>
        <v>1</v>
      </c>
      <c r="P45" s="398">
        <f t="shared" si="6"/>
        <v>4143500</v>
      </c>
      <c r="Q45" s="398"/>
      <c r="R45" s="398"/>
      <c r="S45" s="399"/>
      <c r="T45" s="400" t="s">
        <v>803</v>
      </c>
    </row>
    <row r="46" spans="1:20">
      <c r="A46" s="388"/>
      <c r="B46" s="389" t="s">
        <v>649</v>
      </c>
      <c r="C46" s="390">
        <f t="shared" si="1"/>
        <v>32</v>
      </c>
      <c r="D46" s="391" t="s">
        <v>592</v>
      </c>
      <c r="E46" s="392">
        <v>1</v>
      </c>
      <c r="F46" s="393">
        <v>3450000</v>
      </c>
      <c r="G46" s="394">
        <f t="shared" si="2"/>
        <v>3450000</v>
      </c>
      <c r="H46" s="395" t="s">
        <v>704</v>
      </c>
      <c r="I46" s="383">
        <v>0</v>
      </c>
      <c r="J46" s="383">
        <v>0</v>
      </c>
      <c r="K46" s="396">
        <f t="shared" si="3"/>
        <v>0</v>
      </c>
      <c r="L46" s="383">
        <v>0</v>
      </c>
      <c r="M46" s="383">
        <v>0</v>
      </c>
      <c r="N46" s="396">
        <f t="shared" si="4"/>
        <v>0</v>
      </c>
      <c r="O46" s="397">
        <f t="shared" si="5"/>
        <v>1</v>
      </c>
      <c r="P46" s="398">
        <f t="shared" si="6"/>
        <v>3450000</v>
      </c>
      <c r="Q46" s="398"/>
      <c r="R46" s="398"/>
      <c r="S46" s="399"/>
      <c r="T46" s="400" t="s">
        <v>804</v>
      </c>
    </row>
    <row r="47" spans="1:20">
      <c r="A47" s="388"/>
      <c r="B47" s="389" t="s">
        <v>649</v>
      </c>
      <c r="C47" s="390">
        <f t="shared" si="1"/>
        <v>33</v>
      </c>
      <c r="D47" s="391" t="s">
        <v>592</v>
      </c>
      <c r="E47" s="392">
        <v>2</v>
      </c>
      <c r="F47" s="393">
        <v>2310000</v>
      </c>
      <c r="G47" s="394">
        <f t="shared" si="2"/>
        <v>4620000</v>
      </c>
      <c r="H47" s="395" t="s">
        <v>705</v>
      </c>
      <c r="I47" s="383">
        <v>0</v>
      </c>
      <c r="J47" s="383">
        <v>0</v>
      </c>
      <c r="K47" s="396">
        <f t="shared" si="3"/>
        <v>0</v>
      </c>
      <c r="L47" s="383">
        <v>0</v>
      </c>
      <c r="M47" s="383">
        <v>0</v>
      </c>
      <c r="N47" s="396">
        <f t="shared" si="4"/>
        <v>0</v>
      </c>
      <c r="O47" s="397">
        <f t="shared" si="5"/>
        <v>2</v>
      </c>
      <c r="P47" s="398">
        <f t="shared" si="6"/>
        <v>4620000</v>
      </c>
      <c r="Q47" s="398"/>
      <c r="R47" s="398"/>
      <c r="S47" s="399"/>
      <c r="T47" s="400" t="s">
        <v>805</v>
      </c>
    </row>
    <row r="48" spans="1:20" ht="22.5">
      <c r="A48" s="388"/>
      <c r="B48" s="389" t="s">
        <v>650</v>
      </c>
      <c r="C48" s="390">
        <f t="shared" si="1"/>
        <v>34</v>
      </c>
      <c r="D48" s="391" t="s">
        <v>593</v>
      </c>
      <c r="E48" s="392">
        <v>1</v>
      </c>
      <c r="F48" s="393">
        <v>1150000</v>
      </c>
      <c r="G48" s="394">
        <f t="shared" si="2"/>
        <v>1150000</v>
      </c>
      <c r="H48" s="395" t="s">
        <v>706</v>
      </c>
      <c r="I48" s="383">
        <v>0</v>
      </c>
      <c r="J48" s="383">
        <v>0</v>
      </c>
      <c r="K48" s="396">
        <f t="shared" si="3"/>
        <v>0</v>
      </c>
      <c r="L48" s="383">
        <v>0</v>
      </c>
      <c r="M48" s="383">
        <v>0</v>
      </c>
      <c r="N48" s="396">
        <f t="shared" si="4"/>
        <v>0</v>
      </c>
      <c r="O48" s="397">
        <f t="shared" si="5"/>
        <v>1</v>
      </c>
      <c r="P48" s="398">
        <f t="shared" si="6"/>
        <v>1150000</v>
      </c>
      <c r="Q48" s="398"/>
      <c r="R48" s="398"/>
      <c r="S48" s="399"/>
      <c r="T48" s="400" t="s">
        <v>806</v>
      </c>
    </row>
    <row r="49" spans="1:20" ht="22.5">
      <c r="A49" s="388"/>
      <c r="B49" s="389" t="s">
        <v>643</v>
      </c>
      <c r="C49" s="390">
        <f t="shared" si="1"/>
        <v>35</v>
      </c>
      <c r="D49" s="391" t="s">
        <v>587</v>
      </c>
      <c r="E49" s="392">
        <v>1</v>
      </c>
      <c r="F49" s="393">
        <v>3233500</v>
      </c>
      <c r="G49" s="394">
        <f t="shared" si="2"/>
        <v>3233500</v>
      </c>
      <c r="H49" s="395" t="s">
        <v>706</v>
      </c>
      <c r="I49" s="383">
        <v>0</v>
      </c>
      <c r="J49" s="383">
        <v>0</v>
      </c>
      <c r="K49" s="396">
        <f t="shared" si="3"/>
        <v>0</v>
      </c>
      <c r="L49" s="383">
        <v>0</v>
      </c>
      <c r="M49" s="383">
        <v>0</v>
      </c>
      <c r="N49" s="396">
        <f t="shared" si="4"/>
        <v>0</v>
      </c>
      <c r="O49" s="397">
        <f t="shared" si="5"/>
        <v>1</v>
      </c>
      <c r="P49" s="398">
        <f t="shared" si="6"/>
        <v>3233500</v>
      </c>
      <c r="Q49" s="398"/>
      <c r="R49" s="398"/>
      <c r="S49" s="399"/>
      <c r="T49" s="400" t="s">
        <v>807</v>
      </c>
    </row>
    <row r="50" spans="1:20">
      <c r="A50" s="388"/>
      <c r="B50" s="389" t="s">
        <v>648</v>
      </c>
      <c r="C50" s="390">
        <f t="shared" si="1"/>
        <v>36</v>
      </c>
      <c r="D50" s="391" t="s">
        <v>591</v>
      </c>
      <c r="E50" s="392">
        <v>1</v>
      </c>
      <c r="F50" s="393">
        <v>7314000</v>
      </c>
      <c r="G50" s="394">
        <f t="shared" si="2"/>
        <v>7314000</v>
      </c>
      <c r="H50" s="395" t="s">
        <v>706</v>
      </c>
      <c r="I50" s="383">
        <v>0</v>
      </c>
      <c r="J50" s="383">
        <v>0</v>
      </c>
      <c r="K50" s="396">
        <f t="shared" si="3"/>
        <v>0</v>
      </c>
      <c r="L50" s="383">
        <v>0</v>
      </c>
      <c r="M50" s="383">
        <v>0</v>
      </c>
      <c r="N50" s="396">
        <f t="shared" si="4"/>
        <v>0</v>
      </c>
      <c r="O50" s="397">
        <f t="shared" si="5"/>
        <v>1</v>
      </c>
      <c r="P50" s="398">
        <f t="shared" si="6"/>
        <v>7314000</v>
      </c>
      <c r="Q50" s="398"/>
      <c r="R50" s="398"/>
      <c r="S50" s="399"/>
      <c r="T50" s="400" t="s">
        <v>808</v>
      </c>
    </row>
    <row r="51" spans="1:20" ht="22.5">
      <c r="A51" s="388"/>
      <c r="B51" s="389" t="s">
        <v>651</v>
      </c>
      <c r="C51" s="390">
        <f t="shared" si="1"/>
        <v>37</v>
      </c>
      <c r="D51" s="391" t="s">
        <v>594</v>
      </c>
      <c r="E51" s="392">
        <v>1</v>
      </c>
      <c r="F51" s="393">
        <v>1700000</v>
      </c>
      <c r="G51" s="394">
        <f t="shared" si="2"/>
        <v>1700000</v>
      </c>
      <c r="H51" s="395" t="s">
        <v>707</v>
      </c>
      <c r="I51" s="383">
        <v>0</v>
      </c>
      <c r="J51" s="383">
        <v>0</v>
      </c>
      <c r="K51" s="396">
        <f t="shared" si="3"/>
        <v>0</v>
      </c>
      <c r="L51" s="383">
        <v>0</v>
      </c>
      <c r="M51" s="383">
        <v>0</v>
      </c>
      <c r="N51" s="396">
        <f t="shared" si="4"/>
        <v>0</v>
      </c>
      <c r="O51" s="397">
        <f t="shared" si="5"/>
        <v>1</v>
      </c>
      <c r="P51" s="398">
        <f t="shared" si="6"/>
        <v>1700000</v>
      </c>
      <c r="Q51" s="398"/>
      <c r="R51" s="398"/>
      <c r="S51" s="399"/>
      <c r="T51" s="400" t="s">
        <v>809</v>
      </c>
    </row>
    <row r="52" spans="1:20" ht="33.75">
      <c r="A52" s="388"/>
      <c r="B52" s="389" t="s">
        <v>651</v>
      </c>
      <c r="C52" s="390">
        <f t="shared" si="1"/>
        <v>38</v>
      </c>
      <c r="D52" s="391" t="s">
        <v>594</v>
      </c>
      <c r="E52" s="392">
        <v>2</v>
      </c>
      <c r="F52" s="393">
        <f>155330/2</f>
        <v>77665</v>
      </c>
      <c r="G52" s="394">
        <f t="shared" si="2"/>
        <v>155330</v>
      </c>
      <c r="H52" s="395" t="s">
        <v>708</v>
      </c>
      <c r="I52" s="383">
        <v>0</v>
      </c>
      <c r="J52" s="383">
        <v>0</v>
      </c>
      <c r="K52" s="396">
        <f t="shared" si="3"/>
        <v>0</v>
      </c>
      <c r="L52" s="383">
        <v>0</v>
      </c>
      <c r="M52" s="383">
        <v>0</v>
      </c>
      <c r="N52" s="396">
        <f t="shared" si="4"/>
        <v>0</v>
      </c>
      <c r="O52" s="397">
        <f t="shared" si="5"/>
        <v>2</v>
      </c>
      <c r="P52" s="398">
        <f t="shared" si="6"/>
        <v>155330</v>
      </c>
      <c r="Q52" s="398"/>
      <c r="R52" s="398"/>
      <c r="S52" s="399"/>
      <c r="T52" s="400" t="s">
        <v>810</v>
      </c>
    </row>
    <row r="53" spans="1:20" ht="22.5">
      <c r="A53" s="388"/>
      <c r="B53" s="389" t="s">
        <v>652</v>
      </c>
      <c r="C53" s="390">
        <f t="shared" si="1"/>
        <v>39</v>
      </c>
      <c r="D53" s="391" t="s">
        <v>595</v>
      </c>
      <c r="E53" s="392">
        <v>6</v>
      </c>
      <c r="F53" s="393">
        <f>851400/6</f>
        <v>141900</v>
      </c>
      <c r="G53" s="394">
        <f t="shared" si="2"/>
        <v>851400</v>
      </c>
      <c r="H53" s="395" t="s">
        <v>709</v>
      </c>
      <c r="I53" s="383">
        <v>0</v>
      </c>
      <c r="J53" s="383">
        <v>0</v>
      </c>
      <c r="K53" s="396">
        <f t="shared" si="3"/>
        <v>0</v>
      </c>
      <c r="L53" s="383">
        <v>0</v>
      </c>
      <c r="M53" s="383">
        <v>0</v>
      </c>
      <c r="N53" s="396">
        <f t="shared" si="4"/>
        <v>0</v>
      </c>
      <c r="O53" s="397">
        <f t="shared" si="5"/>
        <v>6</v>
      </c>
      <c r="P53" s="398">
        <f t="shared" si="6"/>
        <v>851400</v>
      </c>
      <c r="Q53" s="398"/>
      <c r="R53" s="398"/>
      <c r="S53" s="399"/>
      <c r="T53" s="400" t="s">
        <v>811</v>
      </c>
    </row>
    <row r="54" spans="1:20" ht="45">
      <c r="A54" s="388"/>
      <c r="B54" s="389" t="s">
        <v>653</v>
      </c>
      <c r="C54" s="390">
        <f t="shared" si="1"/>
        <v>40</v>
      </c>
      <c r="D54" s="391" t="s">
        <v>596</v>
      </c>
      <c r="E54" s="392">
        <v>2</v>
      </c>
      <c r="F54" s="393">
        <f>3260000/2</f>
        <v>1630000</v>
      </c>
      <c r="G54" s="394">
        <f t="shared" si="2"/>
        <v>3260000</v>
      </c>
      <c r="H54" s="395" t="s">
        <v>710</v>
      </c>
      <c r="I54" s="383">
        <v>0</v>
      </c>
      <c r="J54" s="403">
        <v>0</v>
      </c>
      <c r="K54" s="402">
        <f t="shared" si="3"/>
        <v>0</v>
      </c>
      <c r="L54" s="383">
        <v>0</v>
      </c>
      <c r="M54" s="383">
        <v>0</v>
      </c>
      <c r="N54" s="396">
        <f t="shared" si="4"/>
        <v>0</v>
      </c>
      <c r="O54" s="397">
        <f t="shared" si="5"/>
        <v>2</v>
      </c>
      <c r="P54" s="398">
        <f t="shared" si="6"/>
        <v>3260000</v>
      </c>
      <c r="Q54" s="398"/>
      <c r="R54" s="398"/>
      <c r="S54" s="399"/>
      <c r="T54" s="400" t="s">
        <v>812</v>
      </c>
    </row>
    <row r="55" spans="1:20" ht="22.5">
      <c r="A55" s="388"/>
      <c r="B55" s="389" t="s">
        <v>654</v>
      </c>
      <c r="C55" s="390">
        <f t="shared" si="1"/>
        <v>41</v>
      </c>
      <c r="D55" s="391" t="s">
        <v>597</v>
      </c>
      <c r="E55" s="392">
        <v>1</v>
      </c>
      <c r="F55" s="393">
        <v>1680000</v>
      </c>
      <c r="G55" s="394">
        <f t="shared" si="2"/>
        <v>1680000</v>
      </c>
      <c r="H55" s="395" t="s">
        <v>711</v>
      </c>
      <c r="I55" s="383">
        <v>0</v>
      </c>
      <c r="J55" s="403">
        <v>0</v>
      </c>
      <c r="K55" s="402">
        <f t="shared" si="3"/>
        <v>0</v>
      </c>
      <c r="L55" s="383">
        <v>0</v>
      </c>
      <c r="M55" s="383">
        <v>0</v>
      </c>
      <c r="N55" s="396">
        <f t="shared" si="4"/>
        <v>0</v>
      </c>
      <c r="O55" s="397">
        <f t="shared" si="5"/>
        <v>1</v>
      </c>
      <c r="P55" s="398">
        <f t="shared" si="6"/>
        <v>1680000</v>
      </c>
      <c r="Q55" s="398"/>
      <c r="R55" s="398"/>
      <c r="S55" s="399"/>
      <c r="T55" s="400" t="s">
        <v>813</v>
      </c>
    </row>
    <row r="56" spans="1:20" ht="33.75">
      <c r="A56" s="388"/>
      <c r="B56" s="389" t="s">
        <v>648</v>
      </c>
      <c r="C56" s="390">
        <f t="shared" si="1"/>
        <v>42</v>
      </c>
      <c r="D56" s="391" t="s">
        <v>591</v>
      </c>
      <c r="E56" s="392">
        <v>1</v>
      </c>
      <c r="F56" s="393">
        <v>16525000</v>
      </c>
      <c r="G56" s="394">
        <f t="shared" si="2"/>
        <v>16525000</v>
      </c>
      <c r="H56" s="395" t="s">
        <v>712</v>
      </c>
      <c r="I56" s="383"/>
      <c r="J56" s="383"/>
      <c r="K56" s="396">
        <f t="shared" si="3"/>
        <v>0</v>
      </c>
      <c r="L56" s="383"/>
      <c r="M56" s="383"/>
      <c r="N56" s="396">
        <f t="shared" si="4"/>
        <v>0</v>
      </c>
      <c r="O56" s="397">
        <f t="shared" si="5"/>
        <v>1</v>
      </c>
      <c r="P56" s="398">
        <f t="shared" si="6"/>
        <v>16525000</v>
      </c>
      <c r="Q56" s="398"/>
      <c r="R56" s="398"/>
      <c r="S56" s="399"/>
      <c r="T56" s="400" t="s">
        <v>814</v>
      </c>
    </row>
    <row r="57" spans="1:20" ht="22.5">
      <c r="A57" s="388"/>
      <c r="B57" s="389" t="s">
        <v>655</v>
      </c>
      <c r="C57" s="390">
        <f t="shared" si="1"/>
        <v>43</v>
      </c>
      <c r="D57" s="391" t="s">
        <v>598</v>
      </c>
      <c r="E57" s="392">
        <v>2</v>
      </c>
      <c r="F57" s="393">
        <f>3500000/2</f>
        <v>1750000</v>
      </c>
      <c r="G57" s="394">
        <f t="shared" si="2"/>
        <v>3500000</v>
      </c>
      <c r="H57" s="395" t="s">
        <v>713</v>
      </c>
      <c r="I57" s="383">
        <v>0</v>
      </c>
      <c r="J57" s="383">
        <v>0</v>
      </c>
      <c r="K57" s="396">
        <f t="shared" si="3"/>
        <v>0</v>
      </c>
      <c r="L57" s="383">
        <v>0</v>
      </c>
      <c r="M57" s="383">
        <v>0</v>
      </c>
      <c r="N57" s="396">
        <f t="shared" si="4"/>
        <v>0</v>
      </c>
      <c r="O57" s="397">
        <f t="shared" si="5"/>
        <v>2</v>
      </c>
      <c r="P57" s="398">
        <f t="shared" si="6"/>
        <v>3500000</v>
      </c>
      <c r="Q57" s="398"/>
      <c r="R57" s="398"/>
      <c r="S57" s="399"/>
      <c r="T57" s="400" t="s">
        <v>815</v>
      </c>
    </row>
    <row r="58" spans="1:20" ht="22.5">
      <c r="A58" s="388"/>
      <c r="B58" s="389" t="s">
        <v>656</v>
      </c>
      <c r="C58" s="390">
        <f t="shared" si="1"/>
        <v>44</v>
      </c>
      <c r="D58" s="391" t="s">
        <v>599</v>
      </c>
      <c r="E58" s="392">
        <v>1</v>
      </c>
      <c r="F58" s="393">
        <v>2850000</v>
      </c>
      <c r="G58" s="394">
        <f t="shared" si="2"/>
        <v>2850000</v>
      </c>
      <c r="H58" s="395" t="s">
        <v>713</v>
      </c>
      <c r="I58" s="383">
        <v>0</v>
      </c>
      <c r="J58" s="383">
        <v>0</v>
      </c>
      <c r="K58" s="396">
        <f t="shared" si="3"/>
        <v>0</v>
      </c>
      <c r="L58" s="383">
        <v>0</v>
      </c>
      <c r="M58" s="383">
        <v>0</v>
      </c>
      <c r="N58" s="396">
        <f t="shared" si="4"/>
        <v>0</v>
      </c>
      <c r="O58" s="397">
        <f t="shared" si="5"/>
        <v>1</v>
      </c>
      <c r="P58" s="398">
        <f t="shared" si="6"/>
        <v>2850000</v>
      </c>
      <c r="Q58" s="398"/>
      <c r="R58" s="398"/>
      <c r="S58" s="399"/>
      <c r="T58" s="400" t="s">
        <v>816</v>
      </c>
    </row>
    <row r="59" spans="1:20" ht="22.5">
      <c r="A59" s="388"/>
      <c r="B59" s="389" t="s">
        <v>652</v>
      </c>
      <c r="C59" s="390">
        <f t="shared" si="1"/>
        <v>45</v>
      </c>
      <c r="D59" s="391" t="s">
        <v>595</v>
      </c>
      <c r="E59" s="392">
        <v>24</v>
      </c>
      <c r="F59" s="393">
        <f>1237584/24</f>
        <v>51566</v>
      </c>
      <c r="G59" s="394">
        <f t="shared" si="2"/>
        <v>1237584</v>
      </c>
      <c r="H59" s="395" t="s">
        <v>714</v>
      </c>
      <c r="I59" s="383">
        <v>0</v>
      </c>
      <c r="J59" s="383">
        <v>0</v>
      </c>
      <c r="K59" s="396">
        <f t="shared" si="3"/>
        <v>0</v>
      </c>
      <c r="L59" s="383">
        <v>0</v>
      </c>
      <c r="M59" s="383">
        <v>0</v>
      </c>
      <c r="N59" s="396">
        <f t="shared" si="4"/>
        <v>0</v>
      </c>
      <c r="O59" s="397">
        <f t="shared" si="5"/>
        <v>24</v>
      </c>
      <c r="P59" s="398">
        <f t="shared" si="6"/>
        <v>1237584</v>
      </c>
      <c r="Q59" s="398"/>
      <c r="R59" s="398"/>
      <c r="S59" s="399"/>
      <c r="T59" s="400" t="s">
        <v>817</v>
      </c>
    </row>
    <row r="60" spans="1:20">
      <c r="A60" s="388"/>
      <c r="B60" s="389" t="s">
        <v>657</v>
      </c>
      <c r="C60" s="390">
        <f t="shared" si="1"/>
        <v>46</v>
      </c>
      <c r="D60" s="391" t="s">
        <v>600</v>
      </c>
      <c r="E60" s="392">
        <v>1</v>
      </c>
      <c r="F60" s="393">
        <v>7548000</v>
      </c>
      <c r="G60" s="394">
        <f t="shared" si="2"/>
        <v>7548000</v>
      </c>
      <c r="H60" s="395" t="s">
        <v>715</v>
      </c>
      <c r="I60" s="383">
        <v>0</v>
      </c>
      <c r="J60" s="383">
        <v>0</v>
      </c>
      <c r="K60" s="396">
        <f t="shared" si="3"/>
        <v>0</v>
      </c>
      <c r="L60" s="383">
        <v>0</v>
      </c>
      <c r="M60" s="383">
        <v>0</v>
      </c>
      <c r="N60" s="396">
        <f t="shared" si="4"/>
        <v>0</v>
      </c>
      <c r="O60" s="397">
        <f t="shared" si="5"/>
        <v>1</v>
      </c>
      <c r="P60" s="398">
        <f t="shared" si="6"/>
        <v>7548000</v>
      </c>
      <c r="Q60" s="398"/>
      <c r="R60" s="398"/>
      <c r="S60" s="399"/>
      <c r="T60" s="400" t="s">
        <v>818</v>
      </c>
    </row>
    <row r="61" spans="1:20" ht="22.5">
      <c r="A61" s="388"/>
      <c r="B61" s="389" t="s">
        <v>658</v>
      </c>
      <c r="C61" s="390">
        <f t="shared" si="1"/>
        <v>47</v>
      </c>
      <c r="D61" s="391" t="s">
        <v>601</v>
      </c>
      <c r="E61" s="392">
        <v>1</v>
      </c>
      <c r="F61" s="393">
        <v>1150000</v>
      </c>
      <c r="G61" s="394">
        <f t="shared" si="2"/>
        <v>1150000</v>
      </c>
      <c r="H61" s="395" t="s">
        <v>715</v>
      </c>
      <c r="I61" s="383">
        <v>0</v>
      </c>
      <c r="J61" s="383">
        <v>0</v>
      </c>
      <c r="K61" s="396">
        <f t="shared" si="3"/>
        <v>0</v>
      </c>
      <c r="L61" s="383">
        <v>0</v>
      </c>
      <c r="M61" s="383">
        <v>0</v>
      </c>
      <c r="N61" s="396">
        <f t="shared" si="4"/>
        <v>0</v>
      </c>
      <c r="O61" s="397">
        <f t="shared" si="5"/>
        <v>1</v>
      </c>
      <c r="P61" s="398">
        <f t="shared" si="6"/>
        <v>1150000</v>
      </c>
      <c r="Q61" s="398"/>
      <c r="R61" s="398"/>
      <c r="S61" s="399"/>
      <c r="T61" s="400" t="s">
        <v>819</v>
      </c>
    </row>
    <row r="62" spans="1:20">
      <c r="A62" s="388"/>
      <c r="B62" s="389" t="s">
        <v>659</v>
      </c>
      <c r="C62" s="390">
        <f t="shared" si="1"/>
        <v>48</v>
      </c>
      <c r="D62" s="391" t="s">
        <v>602</v>
      </c>
      <c r="E62" s="392">
        <v>1</v>
      </c>
      <c r="F62" s="393">
        <v>1613900</v>
      </c>
      <c r="G62" s="394">
        <f t="shared" si="2"/>
        <v>1613900</v>
      </c>
      <c r="H62" s="395" t="s">
        <v>715</v>
      </c>
      <c r="I62" s="383">
        <v>0</v>
      </c>
      <c r="J62" s="383">
        <v>0</v>
      </c>
      <c r="K62" s="396">
        <f t="shared" si="3"/>
        <v>0</v>
      </c>
      <c r="L62" s="383">
        <v>0</v>
      </c>
      <c r="M62" s="383">
        <v>0</v>
      </c>
      <c r="N62" s="396">
        <f t="shared" si="4"/>
        <v>0</v>
      </c>
      <c r="O62" s="397">
        <f t="shared" si="5"/>
        <v>1</v>
      </c>
      <c r="P62" s="398">
        <f t="shared" si="6"/>
        <v>1613900</v>
      </c>
      <c r="Q62" s="398"/>
      <c r="R62" s="398"/>
      <c r="S62" s="399"/>
      <c r="T62" s="400" t="s">
        <v>820</v>
      </c>
    </row>
    <row r="63" spans="1:20">
      <c r="A63" s="388"/>
      <c r="B63" s="389" t="s">
        <v>632</v>
      </c>
      <c r="C63" s="390">
        <f t="shared" si="1"/>
        <v>49</v>
      </c>
      <c r="D63" s="391" t="s">
        <v>576</v>
      </c>
      <c r="E63" s="392">
        <v>1</v>
      </c>
      <c r="F63" s="393">
        <v>2000000</v>
      </c>
      <c r="G63" s="394">
        <f t="shared" si="2"/>
        <v>2000000</v>
      </c>
      <c r="H63" s="395" t="s">
        <v>716</v>
      </c>
      <c r="I63" s="383">
        <v>0</v>
      </c>
      <c r="J63" s="383">
        <v>0</v>
      </c>
      <c r="K63" s="396">
        <f t="shared" si="3"/>
        <v>0</v>
      </c>
      <c r="L63" s="383">
        <v>0</v>
      </c>
      <c r="M63" s="383">
        <v>0</v>
      </c>
      <c r="N63" s="396">
        <f t="shared" si="4"/>
        <v>0</v>
      </c>
      <c r="O63" s="397">
        <f t="shared" si="5"/>
        <v>1</v>
      </c>
      <c r="P63" s="398">
        <f t="shared" si="6"/>
        <v>2000000</v>
      </c>
      <c r="Q63" s="398"/>
      <c r="R63" s="398"/>
      <c r="S63" s="399"/>
      <c r="T63" s="400" t="s">
        <v>821</v>
      </c>
    </row>
    <row r="64" spans="1:20">
      <c r="A64" s="388"/>
      <c r="B64" s="389" t="s">
        <v>632</v>
      </c>
      <c r="C64" s="390">
        <f t="shared" si="1"/>
        <v>50</v>
      </c>
      <c r="D64" s="391" t="s">
        <v>576</v>
      </c>
      <c r="E64" s="392">
        <v>1</v>
      </c>
      <c r="F64" s="393">
        <v>975000</v>
      </c>
      <c r="G64" s="394">
        <f t="shared" si="2"/>
        <v>975000</v>
      </c>
      <c r="H64" s="395" t="s">
        <v>716</v>
      </c>
      <c r="I64" s="383">
        <v>0</v>
      </c>
      <c r="J64" s="383">
        <v>0</v>
      </c>
      <c r="K64" s="396">
        <f t="shared" si="3"/>
        <v>0</v>
      </c>
      <c r="L64" s="383">
        <v>0</v>
      </c>
      <c r="M64" s="383">
        <v>0</v>
      </c>
      <c r="N64" s="396">
        <f t="shared" si="4"/>
        <v>0</v>
      </c>
      <c r="O64" s="397">
        <f t="shared" si="5"/>
        <v>1</v>
      </c>
      <c r="P64" s="398">
        <f t="shared" si="6"/>
        <v>975000</v>
      </c>
      <c r="Q64" s="398"/>
      <c r="R64" s="398"/>
      <c r="S64" s="399"/>
      <c r="T64" s="400" t="s">
        <v>822</v>
      </c>
    </row>
    <row r="65" spans="1:20">
      <c r="A65" s="388"/>
      <c r="B65" s="389" t="s">
        <v>632</v>
      </c>
      <c r="C65" s="390">
        <f t="shared" si="1"/>
        <v>51</v>
      </c>
      <c r="D65" s="391" t="s">
        <v>576</v>
      </c>
      <c r="E65" s="392">
        <v>17</v>
      </c>
      <c r="F65" s="393">
        <v>625000</v>
      </c>
      <c r="G65" s="394">
        <f t="shared" si="2"/>
        <v>10625000</v>
      </c>
      <c r="H65" s="395" t="s">
        <v>716</v>
      </c>
      <c r="I65" s="383">
        <v>0</v>
      </c>
      <c r="J65" s="383">
        <v>0</v>
      </c>
      <c r="K65" s="396">
        <f t="shared" si="3"/>
        <v>0</v>
      </c>
      <c r="L65" s="383">
        <v>0</v>
      </c>
      <c r="M65" s="383">
        <v>0</v>
      </c>
      <c r="N65" s="396">
        <f t="shared" si="4"/>
        <v>0</v>
      </c>
      <c r="O65" s="397">
        <f t="shared" si="5"/>
        <v>17</v>
      </c>
      <c r="P65" s="398">
        <f t="shared" si="6"/>
        <v>10625000</v>
      </c>
      <c r="Q65" s="398"/>
      <c r="R65" s="398"/>
      <c r="S65" s="399"/>
      <c r="T65" s="400" t="s">
        <v>823</v>
      </c>
    </row>
    <row r="66" spans="1:20" ht="22.5">
      <c r="A66" s="388"/>
      <c r="B66" s="389" t="s">
        <v>660</v>
      </c>
      <c r="C66" s="390">
        <f t="shared" si="1"/>
        <v>52</v>
      </c>
      <c r="D66" s="391" t="s">
        <v>603</v>
      </c>
      <c r="E66" s="404">
        <v>1</v>
      </c>
      <c r="F66" s="405">
        <v>7000000</v>
      </c>
      <c r="G66" s="394">
        <f t="shared" si="2"/>
        <v>7000000</v>
      </c>
      <c r="H66" s="395" t="s">
        <v>717</v>
      </c>
      <c r="I66" s="383">
        <v>0</v>
      </c>
      <c r="J66" s="383">
        <v>0</v>
      </c>
      <c r="K66" s="402">
        <f t="shared" si="3"/>
        <v>0</v>
      </c>
      <c r="L66" s="383">
        <v>0</v>
      </c>
      <c r="M66" s="383">
        <v>0</v>
      </c>
      <c r="N66" s="396">
        <f t="shared" si="4"/>
        <v>0</v>
      </c>
      <c r="O66" s="397">
        <f t="shared" si="5"/>
        <v>1</v>
      </c>
      <c r="P66" s="398">
        <f t="shared" si="6"/>
        <v>7000000</v>
      </c>
      <c r="Q66" s="398"/>
      <c r="R66" s="398"/>
      <c r="S66" s="399"/>
      <c r="T66" s="400" t="s">
        <v>801</v>
      </c>
    </row>
    <row r="67" spans="1:20" ht="78.75">
      <c r="A67" s="388"/>
      <c r="B67" s="389" t="s">
        <v>648</v>
      </c>
      <c r="C67" s="390">
        <f t="shared" si="1"/>
        <v>53</v>
      </c>
      <c r="D67" s="391" t="s">
        <v>591</v>
      </c>
      <c r="E67" s="404">
        <v>2</v>
      </c>
      <c r="F67" s="405">
        <v>14097000</v>
      </c>
      <c r="G67" s="394">
        <f t="shared" si="2"/>
        <v>28194000</v>
      </c>
      <c r="H67" s="395" t="s">
        <v>718</v>
      </c>
      <c r="I67" s="383">
        <v>0</v>
      </c>
      <c r="J67" s="383">
        <v>0</v>
      </c>
      <c r="K67" s="402">
        <f t="shared" si="3"/>
        <v>0</v>
      </c>
      <c r="L67" s="383">
        <v>0</v>
      </c>
      <c r="M67" s="383">
        <v>0</v>
      </c>
      <c r="N67" s="396">
        <f t="shared" si="4"/>
        <v>0</v>
      </c>
      <c r="O67" s="397">
        <f t="shared" si="5"/>
        <v>2</v>
      </c>
      <c r="P67" s="398">
        <f t="shared" si="6"/>
        <v>28194000</v>
      </c>
      <c r="Q67" s="398"/>
      <c r="R67" s="398"/>
      <c r="S67" s="399"/>
      <c r="T67" s="400" t="s">
        <v>824</v>
      </c>
    </row>
    <row r="68" spans="1:20" ht="22.5">
      <c r="A68" s="388"/>
      <c r="B68" s="389" t="s">
        <v>650</v>
      </c>
      <c r="C68" s="390">
        <f t="shared" si="1"/>
        <v>54</v>
      </c>
      <c r="D68" s="391" t="s">
        <v>593</v>
      </c>
      <c r="E68" s="404">
        <v>2</v>
      </c>
      <c r="F68" s="405">
        <v>971250</v>
      </c>
      <c r="G68" s="394">
        <f t="shared" si="2"/>
        <v>1942500</v>
      </c>
      <c r="H68" s="395" t="s">
        <v>718</v>
      </c>
      <c r="I68" s="383">
        <v>0</v>
      </c>
      <c r="J68" s="383">
        <v>0</v>
      </c>
      <c r="K68" s="402">
        <f t="shared" si="3"/>
        <v>0</v>
      </c>
      <c r="L68" s="383">
        <v>0</v>
      </c>
      <c r="M68" s="383">
        <v>0</v>
      </c>
      <c r="N68" s="396">
        <f t="shared" si="4"/>
        <v>0</v>
      </c>
      <c r="O68" s="397">
        <f t="shared" si="5"/>
        <v>2</v>
      </c>
      <c r="P68" s="398">
        <f t="shared" si="6"/>
        <v>1942500</v>
      </c>
      <c r="Q68" s="398"/>
      <c r="R68" s="398"/>
      <c r="S68" s="399"/>
      <c r="T68" s="400" t="s">
        <v>825</v>
      </c>
    </row>
    <row r="69" spans="1:20" ht="78.75">
      <c r="A69" s="388"/>
      <c r="B69" s="389" t="s">
        <v>648</v>
      </c>
      <c r="C69" s="390">
        <f t="shared" si="1"/>
        <v>55</v>
      </c>
      <c r="D69" s="391" t="s">
        <v>591</v>
      </c>
      <c r="E69" s="404">
        <v>1</v>
      </c>
      <c r="F69" s="405">
        <v>13000000</v>
      </c>
      <c r="G69" s="394">
        <f t="shared" si="2"/>
        <v>13000000</v>
      </c>
      <c r="H69" s="395" t="s">
        <v>719</v>
      </c>
      <c r="I69" s="383">
        <v>0</v>
      </c>
      <c r="J69" s="383">
        <v>0</v>
      </c>
      <c r="K69" s="402">
        <f t="shared" si="3"/>
        <v>0</v>
      </c>
      <c r="L69" s="383">
        <v>0</v>
      </c>
      <c r="M69" s="383">
        <v>0</v>
      </c>
      <c r="N69" s="396">
        <f t="shared" si="4"/>
        <v>0</v>
      </c>
      <c r="O69" s="397">
        <f t="shared" si="5"/>
        <v>1</v>
      </c>
      <c r="P69" s="398">
        <f t="shared" si="6"/>
        <v>13000000</v>
      </c>
      <c r="Q69" s="398"/>
      <c r="R69" s="398"/>
      <c r="S69" s="399"/>
      <c r="T69" s="400" t="s">
        <v>824</v>
      </c>
    </row>
    <row r="70" spans="1:20" ht="22.5">
      <c r="A70" s="388"/>
      <c r="B70" s="389" t="s">
        <v>650</v>
      </c>
      <c r="C70" s="390">
        <f t="shared" si="1"/>
        <v>56</v>
      </c>
      <c r="D70" s="391" t="s">
        <v>593</v>
      </c>
      <c r="E70" s="404">
        <v>1</v>
      </c>
      <c r="F70" s="405">
        <v>970000</v>
      </c>
      <c r="G70" s="394">
        <f t="shared" si="2"/>
        <v>970000</v>
      </c>
      <c r="H70" s="395" t="s">
        <v>719</v>
      </c>
      <c r="I70" s="383">
        <v>0</v>
      </c>
      <c r="J70" s="383">
        <v>0</v>
      </c>
      <c r="K70" s="402">
        <f t="shared" si="3"/>
        <v>0</v>
      </c>
      <c r="L70" s="383">
        <v>0</v>
      </c>
      <c r="M70" s="383">
        <v>0</v>
      </c>
      <c r="N70" s="396">
        <f t="shared" si="4"/>
        <v>0</v>
      </c>
      <c r="O70" s="397">
        <f t="shared" si="5"/>
        <v>1</v>
      </c>
      <c r="P70" s="398">
        <f t="shared" si="6"/>
        <v>970000</v>
      </c>
      <c r="Q70" s="398"/>
      <c r="R70" s="398"/>
      <c r="S70" s="399"/>
      <c r="T70" s="400" t="s">
        <v>825</v>
      </c>
    </row>
    <row r="71" spans="1:20">
      <c r="A71" s="388"/>
      <c r="B71" s="389" t="s">
        <v>640</v>
      </c>
      <c r="C71" s="390">
        <f t="shared" si="1"/>
        <v>57</v>
      </c>
      <c r="D71" s="391" t="s">
        <v>584</v>
      </c>
      <c r="E71" s="404">
        <v>1</v>
      </c>
      <c r="F71" s="405">
        <v>9950000</v>
      </c>
      <c r="G71" s="394">
        <f t="shared" si="2"/>
        <v>9950000</v>
      </c>
      <c r="H71" s="395" t="s">
        <v>720</v>
      </c>
      <c r="I71" s="383">
        <v>0</v>
      </c>
      <c r="J71" s="383">
        <v>0</v>
      </c>
      <c r="K71" s="402">
        <f t="shared" si="3"/>
        <v>0</v>
      </c>
      <c r="L71" s="383">
        <v>0</v>
      </c>
      <c r="M71" s="383">
        <v>0</v>
      </c>
      <c r="N71" s="396">
        <f t="shared" si="4"/>
        <v>0</v>
      </c>
      <c r="O71" s="397">
        <f t="shared" si="5"/>
        <v>1</v>
      </c>
      <c r="P71" s="398">
        <f t="shared" si="6"/>
        <v>9950000</v>
      </c>
      <c r="Q71" s="398"/>
      <c r="R71" s="398"/>
      <c r="S71" s="399"/>
      <c r="T71" s="400" t="s">
        <v>826</v>
      </c>
    </row>
    <row r="72" spans="1:20">
      <c r="A72" s="388"/>
      <c r="B72" s="389" t="s">
        <v>661</v>
      </c>
      <c r="C72" s="390">
        <f t="shared" si="1"/>
        <v>58</v>
      </c>
      <c r="D72" s="391" t="s">
        <v>411</v>
      </c>
      <c r="E72" s="404">
        <v>1</v>
      </c>
      <c r="F72" s="405">
        <v>2587500</v>
      </c>
      <c r="G72" s="394">
        <f t="shared" si="2"/>
        <v>2587500</v>
      </c>
      <c r="H72" s="395" t="s">
        <v>721</v>
      </c>
      <c r="I72" s="383">
        <v>0</v>
      </c>
      <c r="J72" s="383">
        <v>0</v>
      </c>
      <c r="K72" s="402">
        <f t="shared" si="3"/>
        <v>0</v>
      </c>
      <c r="L72" s="383">
        <v>0</v>
      </c>
      <c r="M72" s="383">
        <v>0</v>
      </c>
      <c r="N72" s="396">
        <f t="shared" si="4"/>
        <v>0</v>
      </c>
      <c r="O72" s="397">
        <f t="shared" si="5"/>
        <v>1</v>
      </c>
      <c r="P72" s="398">
        <f t="shared" si="6"/>
        <v>2587500</v>
      </c>
      <c r="Q72" s="398"/>
      <c r="R72" s="398"/>
      <c r="S72" s="399"/>
      <c r="T72" s="400" t="s">
        <v>827</v>
      </c>
    </row>
    <row r="73" spans="1:20" ht="22.5">
      <c r="A73" s="388"/>
      <c r="B73" s="389" t="s">
        <v>636</v>
      </c>
      <c r="C73" s="390">
        <f t="shared" si="1"/>
        <v>59</v>
      </c>
      <c r="D73" s="391" t="s">
        <v>580</v>
      </c>
      <c r="E73" s="404">
        <v>3</v>
      </c>
      <c r="F73" s="405">
        <f>8850000/3</f>
        <v>2950000</v>
      </c>
      <c r="G73" s="394">
        <f t="shared" si="2"/>
        <v>8850000</v>
      </c>
      <c r="H73" s="395" t="s">
        <v>722</v>
      </c>
      <c r="I73" s="383">
        <v>0</v>
      </c>
      <c r="J73" s="383">
        <v>0</v>
      </c>
      <c r="K73" s="402">
        <f t="shared" si="3"/>
        <v>0</v>
      </c>
      <c r="L73" s="383">
        <v>0</v>
      </c>
      <c r="M73" s="383">
        <v>0</v>
      </c>
      <c r="N73" s="396">
        <f t="shared" si="4"/>
        <v>0</v>
      </c>
      <c r="O73" s="397">
        <f t="shared" si="5"/>
        <v>3</v>
      </c>
      <c r="P73" s="398">
        <f t="shared" si="6"/>
        <v>8850000</v>
      </c>
      <c r="Q73" s="398"/>
      <c r="R73" s="398"/>
      <c r="S73" s="399"/>
      <c r="T73" s="400" t="s">
        <v>828</v>
      </c>
    </row>
    <row r="74" spans="1:20">
      <c r="A74" s="388"/>
      <c r="B74" s="389" t="s">
        <v>638</v>
      </c>
      <c r="C74" s="390">
        <f t="shared" si="1"/>
        <v>60</v>
      </c>
      <c r="D74" s="391" t="s">
        <v>582</v>
      </c>
      <c r="E74" s="404">
        <v>1</v>
      </c>
      <c r="F74" s="393">
        <v>1700000</v>
      </c>
      <c r="G74" s="394">
        <f t="shared" si="2"/>
        <v>1700000</v>
      </c>
      <c r="H74" s="395" t="s">
        <v>722</v>
      </c>
      <c r="I74" s="383">
        <v>0</v>
      </c>
      <c r="J74" s="383">
        <v>0</v>
      </c>
      <c r="K74" s="402">
        <f t="shared" si="3"/>
        <v>0</v>
      </c>
      <c r="L74" s="383">
        <v>0</v>
      </c>
      <c r="M74" s="383">
        <v>0</v>
      </c>
      <c r="N74" s="396">
        <f t="shared" si="4"/>
        <v>0</v>
      </c>
      <c r="O74" s="397">
        <f t="shared" si="5"/>
        <v>1</v>
      </c>
      <c r="P74" s="398">
        <f t="shared" si="6"/>
        <v>1700000</v>
      </c>
      <c r="Q74" s="398"/>
      <c r="R74" s="398"/>
      <c r="S74" s="399"/>
      <c r="T74" s="400" t="s">
        <v>829</v>
      </c>
    </row>
    <row r="75" spans="1:20" ht="22.5">
      <c r="A75" s="388"/>
      <c r="B75" s="389" t="s">
        <v>662</v>
      </c>
      <c r="C75" s="390">
        <f t="shared" si="1"/>
        <v>61</v>
      </c>
      <c r="D75" s="391" t="s">
        <v>604</v>
      </c>
      <c r="E75" s="404">
        <v>1</v>
      </c>
      <c r="F75" s="393">
        <v>7000000</v>
      </c>
      <c r="G75" s="394">
        <f t="shared" si="2"/>
        <v>7000000</v>
      </c>
      <c r="H75" s="395" t="s">
        <v>722</v>
      </c>
      <c r="I75" s="383">
        <v>0</v>
      </c>
      <c r="J75" s="383">
        <v>0</v>
      </c>
      <c r="K75" s="402">
        <f t="shared" si="3"/>
        <v>0</v>
      </c>
      <c r="L75" s="383">
        <v>0</v>
      </c>
      <c r="M75" s="383">
        <v>0</v>
      </c>
      <c r="N75" s="396">
        <f t="shared" si="4"/>
        <v>0</v>
      </c>
      <c r="O75" s="397">
        <f t="shared" si="5"/>
        <v>1</v>
      </c>
      <c r="P75" s="398">
        <f t="shared" si="6"/>
        <v>7000000</v>
      </c>
      <c r="Q75" s="398"/>
      <c r="R75" s="398"/>
      <c r="S75" s="399"/>
      <c r="T75" s="400" t="s">
        <v>830</v>
      </c>
    </row>
    <row r="76" spans="1:20" ht="22.5">
      <c r="A76" s="388"/>
      <c r="B76" s="389" t="s">
        <v>663</v>
      </c>
      <c r="C76" s="390">
        <f t="shared" si="1"/>
        <v>62</v>
      </c>
      <c r="D76" s="391" t="s">
        <v>605</v>
      </c>
      <c r="E76" s="404">
        <v>1</v>
      </c>
      <c r="F76" s="393">
        <v>3900000</v>
      </c>
      <c r="G76" s="394">
        <f t="shared" si="2"/>
        <v>3900000</v>
      </c>
      <c r="H76" s="395" t="s">
        <v>722</v>
      </c>
      <c r="I76" s="383">
        <v>0</v>
      </c>
      <c r="J76" s="383">
        <v>0</v>
      </c>
      <c r="K76" s="402">
        <f t="shared" si="3"/>
        <v>0</v>
      </c>
      <c r="L76" s="383">
        <v>0</v>
      </c>
      <c r="M76" s="383">
        <v>0</v>
      </c>
      <c r="N76" s="396">
        <f t="shared" si="4"/>
        <v>0</v>
      </c>
      <c r="O76" s="397">
        <f t="shared" si="5"/>
        <v>1</v>
      </c>
      <c r="P76" s="398">
        <f t="shared" si="6"/>
        <v>3900000</v>
      </c>
      <c r="Q76" s="398"/>
      <c r="R76" s="398"/>
      <c r="S76" s="399"/>
      <c r="T76" s="400" t="s">
        <v>831</v>
      </c>
    </row>
    <row r="77" spans="1:20" ht="22.5">
      <c r="A77" s="388"/>
      <c r="B77" s="406" t="s">
        <v>664</v>
      </c>
      <c r="C77" s="390">
        <f t="shared" si="1"/>
        <v>63</v>
      </c>
      <c r="D77" s="391" t="s">
        <v>606</v>
      </c>
      <c r="E77" s="404">
        <v>2</v>
      </c>
      <c r="F77" s="405">
        <f>900000/2</f>
        <v>450000</v>
      </c>
      <c r="G77" s="394">
        <f t="shared" si="2"/>
        <v>900000</v>
      </c>
      <c r="H77" s="395" t="s">
        <v>723</v>
      </c>
      <c r="I77" s="383">
        <v>0</v>
      </c>
      <c r="J77" s="383">
        <v>0</v>
      </c>
      <c r="K77" s="402">
        <f t="shared" si="3"/>
        <v>0</v>
      </c>
      <c r="L77" s="383">
        <v>0</v>
      </c>
      <c r="M77" s="383">
        <v>0</v>
      </c>
      <c r="N77" s="396">
        <f t="shared" si="4"/>
        <v>0</v>
      </c>
      <c r="O77" s="397">
        <f t="shared" si="5"/>
        <v>2</v>
      </c>
      <c r="P77" s="398">
        <f t="shared" si="6"/>
        <v>900000</v>
      </c>
      <c r="Q77" s="398"/>
      <c r="R77" s="398"/>
      <c r="S77" s="399"/>
      <c r="T77" s="400" t="s">
        <v>832</v>
      </c>
    </row>
    <row r="78" spans="1:20" ht="22.5">
      <c r="A78" s="388"/>
      <c r="B78" s="389" t="s">
        <v>664</v>
      </c>
      <c r="C78" s="390">
        <f t="shared" si="1"/>
        <v>64</v>
      </c>
      <c r="D78" s="391" t="s">
        <v>606</v>
      </c>
      <c r="E78" s="404">
        <v>2</v>
      </c>
      <c r="F78" s="405">
        <f>800000/2</f>
        <v>400000</v>
      </c>
      <c r="G78" s="394">
        <f t="shared" si="2"/>
        <v>800000</v>
      </c>
      <c r="H78" s="395" t="s">
        <v>723</v>
      </c>
      <c r="I78" s="383">
        <v>0</v>
      </c>
      <c r="J78" s="383">
        <v>0</v>
      </c>
      <c r="K78" s="402">
        <f t="shared" si="3"/>
        <v>0</v>
      </c>
      <c r="L78" s="383">
        <v>0</v>
      </c>
      <c r="M78" s="383">
        <v>0</v>
      </c>
      <c r="N78" s="396">
        <f t="shared" si="4"/>
        <v>0</v>
      </c>
      <c r="O78" s="397">
        <f t="shared" si="5"/>
        <v>2</v>
      </c>
      <c r="P78" s="398">
        <f t="shared" si="6"/>
        <v>800000</v>
      </c>
      <c r="Q78" s="398"/>
      <c r="R78" s="398"/>
      <c r="S78" s="399"/>
      <c r="T78" s="400" t="s">
        <v>833</v>
      </c>
    </row>
    <row r="79" spans="1:20">
      <c r="A79" s="388"/>
      <c r="B79" s="406" t="s">
        <v>654</v>
      </c>
      <c r="C79" s="390">
        <f t="shared" si="1"/>
        <v>65</v>
      </c>
      <c r="D79" s="391" t="s">
        <v>597</v>
      </c>
      <c r="E79" s="404">
        <v>6</v>
      </c>
      <c r="F79" s="405">
        <v>7900000</v>
      </c>
      <c r="G79" s="407">
        <f t="shared" si="2"/>
        <v>47400000</v>
      </c>
      <c r="H79" s="395" t="s">
        <v>724</v>
      </c>
      <c r="I79" s="383">
        <v>0</v>
      </c>
      <c r="J79" s="383">
        <v>0</v>
      </c>
      <c r="K79" s="408">
        <f t="shared" si="3"/>
        <v>0</v>
      </c>
      <c r="L79" s="383">
        <v>0</v>
      </c>
      <c r="M79" s="383">
        <v>0</v>
      </c>
      <c r="N79" s="396">
        <f t="shared" si="4"/>
        <v>0</v>
      </c>
      <c r="O79" s="399">
        <v>15</v>
      </c>
      <c r="P79" s="398">
        <f t="shared" si="6"/>
        <v>47400000</v>
      </c>
      <c r="Q79" s="398"/>
      <c r="R79" s="398"/>
      <c r="S79" s="399"/>
      <c r="T79" s="400" t="s">
        <v>834</v>
      </c>
    </row>
    <row r="80" spans="1:20">
      <c r="A80" s="388"/>
      <c r="B80" s="389" t="s">
        <v>665</v>
      </c>
      <c r="C80" s="390">
        <f t="shared" si="1"/>
        <v>66</v>
      </c>
      <c r="D80" s="391" t="s">
        <v>607</v>
      </c>
      <c r="E80" s="404">
        <v>2</v>
      </c>
      <c r="F80" s="405">
        <f>880000/2</f>
        <v>440000</v>
      </c>
      <c r="G80" s="407">
        <f t="shared" si="2"/>
        <v>880000</v>
      </c>
      <c r="H80" s="409">
        <v>45442</v>
      </c>
      <c r="I80" s="383">
        <v>0</v>
      </c>
      <c r="J80" s="383">
        <v>0</v>
      </c>
      <c r="K80" s="408">
        <f t="shared" si="3"/>
        <v>0</v>
      </c>
      <c r="L80" s="383">
        <v>0</v>
      </c>
      <c r="M80" s="383">
        <v>0</v>
      </c>
      <c r="N80" s="396">
        <f t="shared" si="4"/>
        <v>0</v>
      </c>
      <c r="O80" s="399">
        <v>2</v>
      </c>
      <c r="P80" s="398">
        <f t="shared" si="6"/>
        <v>880000</v>
      </c>
      <c r="Q80" s="398"/>
      <c r="R80" s="398"/>
      <c r="S80" s="399"/>
      <c r="T80" s="400" t="s">
        <v>835</v>
      </c>
    </row>
    <row r="81" spans="1:20">
      <c r="A81" s="388"/>
      <c r="B81" s="389" t="s">
        <v>666</v>
      </c>
      <c r="C81" s="390">
        <f t="shared" ref="C81:C126" si="7">C80+1</f>
        <v>67</v>
      </c>
      <c r="D81" s="391" t="s">
        <v>608</v>
      </c>
      <c r="E81" s="404">
        <v>1</v>
      </c>
      <c r="F81" s="405">
        <v>4000000</v>
      </c>
      <c r="G81" s="407">
        <f t="shared" si="2"/>
        <v>4000000</v>
      </c>
      <c r="H81" s="409">
        <v>45442</v>
      </c>
      <c r="I81" s="383">
        <v>0</v>
      </c>
      <c r="J81" s="383">
        <v>0</v>
      </c>
      <c r="K81" s="408">
        <f t="shared" si="3"/>
        <v>0</v>
      </c>
      <c r="L81" s="383">
        <v>0</v>
      </c>
      <c r="M81" s="383">
        <v>0</v>
      </c>
      <c r="N81" s="396">
        <f t="shared" ref="N81:N126" si="8">L81*M81</f>
        <v>0</v>
      </c>
      <c r="O81" s="399">
        <v>1</v>
      </c>
      <c r="P81" s="398">
        <f t="shared" si="6"/>
        <v>4000000</v>
      </c>
      <c r="Q81" s="398"/>
      <c r="R81" s="398"/>
      <c r="S81" s="399"/>
      <c r="T81" s="400" t="s">
        <v>836</v>
      </c>
    </row>
    <row r="82" spans="1:20" ht="22.5">
      <c r="A82" s="388"/>
      <c r="B82" s="406" t="s">
        <v>667</v>
      </c>
      <c r="C82" s="390">
        <f t="shared" si="7"/>
        <v>68</v>
      </c>
      <c r="D82" s="391" t="s">
        <v>609</v>
      </c>
      <c r="E82" s="404">
        <v>1</v>
      </c>
      <c r="F82" s="405">
        <v>1100000</v>
      </c>
      <c r="G82" s="407">
        <f t="shared" si="2"/>
        <v>1100000</v>
      </c>
      <c r="H82" s="409">
        <v>45442</v>
      </c>
      <c r="I82" s="383">
        <v>0</v>
      </c>
      <c r="J82" s="383">
        <v>0</v>
      </c>
      <c r="K82" s="408">
        <f t="shared" ref="K82:K126" si="9">I82*J82</f>
        <v>0</v>
      </c>
      <c r="L82" s="383">
        <v>0</v>
      </c>
      <c r="M82" s="383">
        <v>0</v>
      </c>
      <c r="N82" s="396">
        <f t="shared" si="8"/>
        <v>0</v>
      </c>
      <c r="O82" s="399">
        <v>1</v>
      </c>
      <c r="P82" s="398">
        <f t="shared" si="6"/>
        <v>1100000</v>
      </c>
      <c r="Q82" s="398"/>
      <c r="R82" s="398"/>
      <c r="S82" s="399"/>
      <c r="T82" s="400" t="s">
        <v>837</v>
      </c>
    </row>
    <row r="83" spans="1:20" ht="33.75">
      <c r="A83" s="388"/>
      <c r="B83" s="389" t="s">
        <v>648</v>
      </c>
      <c r="C83" s="390">
        <f t="shared" si="7"/>
        <v>69</v>
      </c>
      <c r="D83" s="391" t="s">
        <v>591</v>
      </c>
      <c r="E83" s="404">
        <v>1</v>
      </c>
      <c r="F83" s="405">
        <v>6150000</v>
      </c>
      <c r="G83" s="407">
        <f t="shared" si="2"/>
        <v>6150000</v>
      </c>
      <c r="H83" s="409">
        <v>45442</v>
      </c>
      <c r="I83" s="383">
        <v>0</v>
      </c>
      <c r="J83" s="383">
        <v>0</v>
      </c>
      <c r="K83" s="408">
        <f t="shared" si="9"/>
        <v>0</v>
      </c>
      <c r="L83" s="383">
        <v>0</v>
      </c>
      <c r="M83" s="383">
        <v>0</v>
      </c>
      <c r="N83" s="396">
        <f t="shared" si="8"/>
        <v>0</v>
      </c>
      <c r="O83" s="399">
        <v>1</v>
      </c>
      <c r="P83" s="398">
        <f t="shared" si="6"/>
        <v>6150000</v>
      </c>
      <c r="Q83" s="398"/>
      <c r="R83" s="398"/>
      <c r="S83" s="399"/>
      <c r="T83" s="400" t="s">
        <v>838</v>
      </c>
    </row>
    <row r="84" spans="1:20">
      <c r="A84" s="410"/>
      <c r="B84" s="411" t="s">
        <v>649</v>
      </c>
      <c r="C84" s="390">
        <f t="shared" si="7"/>
        <v>70</v>
      </c>
      <c r="D84" s="412" t="s">
        <v>592</v>
      </c>
      <c r="E84" s="413">
        <v>1</v>
      </c>
      <c r="F84" s="405">
        <v>4050000</v>
      </c>
      <c r="G84" s="407">
        <f t="shared" si="2"/>
        <v>4050000</v>
      </c>
      <c r="H84" s="409">
        <v>45442</v>
      </c>
      <c r="I84" s="383">
        <v>0</v>
      </c>
      <c r="J84" s="383">
        <v>0</v>
      </c>
      <c r="K84" s="408">
        <f t="shared" si="9"/>
        <v>0</v>
      </c>
      <c r="L84" s="383">
        <v>0</v>
      </c>
      <c r="M84" s="383">
        <v>0</v>
      </c>
      <c r="N84" s="396">
        <f t="shared" si="8"/>
        <v>0</v>
      </c>
      <c r="O84" s="397">
        <f t="shared" ref="O84:O126" si="10">E84+I84-L84</f>
        <v>1</v>
      </c>
      <c r="P84" s="398">
        <f t="shared" si="6"/>
        <v>4050000</v>
      </c>
      <c r="Q84" s="398"/>
      <c r="R84" s="414"/>
      <c r="S84" s="415"/>
      <c r="T84" s="416" t="s">
        <v>839</v>
      </c>
    </row>
    <row r="85" spans="1:20">
      <c r="A85" s="410"/>
      <c r="B85" s="411" t="s">
        <v>668</v>
      </c>
      <c r="C85" s="390">
        <f t="shared" si="7"/>
        <v>71</v>
      </c>
      <c r="D85" s="412" t="s">
        <v>605</v>
      </c>
      <c r="E85" s="413">
        <v>2</v>
      </c>
      <c r="F85" s="405">
        <f>1600000/2</f>
        <v>800000</v>
      </c>
      <c r="G85" s="407">
        <f t="shared" si="2"/>
        <v>1600000</v>
      </c>
      <c r="H85" s="409">
        <v>45442</v>
      </c>
      <c r="I85" s="383">
        <v>0</v>
      </c>
      <c r="J85" s="383">
        <v>0</v>
      </c>
      <c r="K85" s="408">
        <f t="shared" si="9"/>
        <v>0</v>
      </c>
      <c r="L85" s="383">
        <v>0</v>
      </c>
      <c r="M85" s="383">
        <v>0</v>
      </c>
      <c r="N85" s="396">
        <f t="shared" si="8"/>
        <v>0</v>
      </c>
      <c r="O85" s="397">
        <f t="shared" si="10"/>
        <v>2</v>
      </c>
      <c r="P85" s="398">
        <f t="shared" ref="P85:P126" si="11">G85+K85-N85</f>
        <v>1600000</v>
      </c>
      <c r="Q85" s="398"/>
      <c r="R85" s="414"/>
      <c r="S85" s="415"/>
      <c r="T85" s="416" t="s">
        <v>840</v>
      </c>
    </row>
    <row r="86" spans="1:20" ht="22.5">
      <c r="A86" s="410"/>
      <c r="B86" s="411" t="s">
        <v>643</v>
      </c>
      <c r="C86" s="390">
        <f t="shared" si="7"/>
        <v>72</v>
      </c>
      <c r="D86" s="412" t="s">
        <v>587</v>
      </c>
      <c r="E86" s="413">
        <v>1</v>
      </c>
      <c r="F86" s="405">
        <v>2200000</v>
      </c>
      <c r="G86" s="407">
        <f t="shared" si="2"/>
        <v>2200000</v>
      </c>
      <c r="H86" s="409">
        <v>45442</v>
      </c>
      <c r="I86" s="383">
        <v>0</v>
      </c>
      <c r="J86" s="383">
        <v>0</v>
      </c>
      <c r="K86" s="408">
        <f t="shared" si="9"/>
        <v>0</v>
      </c>
      <c r="L86" s="383">
        <v>0</v>
      </c>
      <c r="M86" s="383">
        <v>0</v>
      </c>
      <c r="N86" s="396">
        <f t="shared" si="8"/>
        <v>0</v>
      </c>
      <c r="O86" s="397">
        <f t="shared" si="10"/>
        <v>1</v>
      </c>
      <c r="P86" s="398">
        <f t="shared" si="11"/>
        <v>2200000</v>
      </c>
      <c r="Q86" s="398"/>
      <c r="R86" s="414"/>
      <c r="S86" s="415"/>
      <c r="T86" s="416" t="s">
        <v>841</v>
      </c>
    </row>
    <row r="87" spans="1:20" ht="22.5">
      <c r="A87" s="410"/>
      <c r="B87" s="417" t="s">
        <v>650</v>
      </c>
      <c r="C87" s="390">
        <f t="shared" si="7"/>
        <v>73</v>
      </c>
      <c r="D87" s="412" t="s">
        <v>593</v>
      </c>
      <c r="E87" s="413">
        <v>1</v>
      </c>
      <c r="F87" s="405">
        <v>850000</v>
      </c>
      <c r="G87" s="407">
        <f t="shared" si="2"/>
        <v>850000</v>
      </c>
      <c r="H87" s="409">
        <v>45442</v>
      </c>
      <c r="I87" s="383">
        <v>0</v>
      </c>
      <c r="J87" s="383">
        <v>0</v>
      </c>
      <c r="K87" s="408">
        <f t="shared" si="9"/>
        <v>0</v>
      </c>
      <c r="L87" s="383">
        <v>0</v>
      </c>
      <c r="M87" s="383">
        <v>0</v>
      </c>
      <c r="N87" s="396">
        <f t="shared" si="8"/>
        <v>0</v>
      </c>
      <c r="O87" s="397">
        <f t="shared" si="10"/>
        <v>1</v>
      </c>
      <c r="P87" s="398">
        <f t="shared" si="11"/>
        <v>850000</v>
      </c>
      <c r="Q87" s="398"/>
      <c r="R87" s="414"/>
      <c r="S87" s="415"/>
      <c r="T87" s="416" t="s">
        <v>842</v>
      </c>
    </row>
    <row r="88" spans="1:20">
      <c r="A88" s="410"/>
      <c r="B88" s="417" t="s">
        <v>636</v>
      </c>
      <c r="C88" s="390">
        <f t="shared" si="7"/>
        <v>74</v>
      </c>
      <c r="D88" s="412" t="s">
        <v>580</v>
      </c>
      <c r="E88" s="413">
        <v>4</v>
      </c>
      <c r="F88" s="405">
        <f>12800000/4</f>
        <v>3200000</v>
      </c>
      <c r="G88" s="407">
        <f t="shared" ref="G88:G116" si="12">E88*F88</f>
        <v>12800000</v>
      </c>
      <c r="H88" s="409">
        <v>45442</v>
      </c>
      <c r="I88" s="383">
        <v>0</v>
      </c>
      <c r="J88" s="383">
        <v>0</v>
      </c>
      <c r="K88" s="408">
        <f t="shared" si="9"/>
        <v>0</v>
      </c>
      <c r="L88" s="383">
        <v>0</v>
      </c>
      <c r="M88" s="383">
        <v>0</v>
      </c>
      <c r="N88" s="396">
        <f t="shared" si="8"/>
        <v>0</v>
      </c>
      <c r="O88" s="397">
        <f t="shared" si="10"/>
        <v>4</v>
      </c>
      <c r="P88" s="398">
        <f t="shared" si="11"/>
        <v>12800000</v>
      </c>
      <c r="Q88" s="398"/>
      <c r="R88" s="414"/>
      <c r="S88" s="415"/>
      <c r="T88" s="416" t="s">
        <v>829</v>
      </c>
    </row>
    <row r="89" spans="1:20" ht="22.5">
      <c r="A89" s="410"/>
      <c r="B89" s="417" t="s">
        <v>669</v>
      </c>
      <c r="C89" s="390">
        <f t="shared" si="7"/>
        <v>75</v>
      </c>
      <c r="D89" s="412" t="s">
        <v>610</v>
      </c>
      <c r="E89" s="413">
        <v>21</v>
      </c>
      <c r="F89" s="405">
        <f>1365000/21</f>
        <v>65000</v>
      </c>
      <c r="G89" s="407">
        <f t="shared" si="12"/>
        <v>1365000</v>
      </c>
      <c r="H89" s="409">
        <v>45442</v>
      </c>
      <c r="I89" s="383">
        <v>0</v>
      </c>
      <c r="J89" s="383">
        <v>0</v>
      </c>
      <c r="K89" s="408">
        <f t="shared" si="9"/>
        <v>0</v>
      </c>
      <c r="L89" s="383">
        <v>0</v>
      </c>
      <c r="M89" s="383">
        <v>0</v>
      </c>
      <c r="N89" s="396">
        <f t="shared" si="8"/>
        <v>0</v>
      </c>
      <c r="O89" s="397">
        <f t="shared" si="10"/>
        <v>21</v>
      </c>
      <c r="P89" s="398">
        <f t="shared" si="11"/>
        <v>1365000</v>
      </c>
      <c r="Q89" s="398"/>
      <c r="R89" s="414"/>
      <c r="S89" s="415"/>
      <c r="T89" s="416" t="s">
        <v>843</v>
      </c>
    </row>
    <row r="90" spans="1:20">
      <c r="A90" s="410"/>
      <c r="B90" s="417" t="s">
        <v>632</v>
      </c>
      <c r="C90" s="390">
        <f t="shared" si="7"/>
        <v>76</v>
      </c>
      <c r="D90" s="412" t="s">
        <v>576</v>
      </c>
      <c r="E90" s="413">
        <v>1</v>
      </c>
      <c r="F90" s="405">
        <v>675000</v>
      </c>
      <c r="G90" s="407">
        <f t="shared" si="12"/>
        <v>675000</v>
      </c>
      <c r="H90" s="409">
        <v>45442</v>
      </c>
      <c r="I90" s="383">
        <v>0</v>
      </c>
      <c r="J90" s="383">
        <v>0</v>
      </c>
      <c r="K90" s="408">
        <f t="shared" si="9"/>
        <v>0</v>
      </c>
      <c r="L90" s="383">
        <v>0</v>
      </c>
      <c r="M90" s="383">
        <v>0</v>
      </c>
      <c r="N90" s="396">
        <f t="shared" si="8"/>
        <v>0</v>
      </c>
      <c r="O90" s="397">
        <f t="shared" si="10"/>
        <v>1</v>
      </c>
      <c r="P90" s="398">
        <f t="shared" si="11"/>
        <v>675000</v>
      </c>
      <c r="Q90" s="398"/>
      <c r="R90" s="414"/>
      <c r="S90" s="415"/>
      <c r="T90" s="416" t="s">
        <v>844</v>
      </c>
    </row>
    <row r="91" spans="1:20" ht="22.5">
      <c r="A91" s="410"/>
      <c r="B91" s="417" t="s">
        <v>663</v>
      </c>
      <c r="C91" s="390">
        <f t="shared" si="7"/>
        <v>77</v>
      </c>
      <c r="D91" s="412" t="s">
        <v>605</v>
      </c>
      <c r="E91" s="413">
        <v>2</v>
      </c>
      <c r="F91" s="405">
        <f>1200000/2</f>
        <v>600000</v>
      </c>
      <c r="G91" s="407">
        <f t="shared" si="12"/>
        <v>1200000</v>
      </c>
      <c r="H91" s="409">
        <v>45442</v>
      </c>
      <c r="I91" s="383">
        <v>0</v>
      </c>
      <c r="J91" s="383">
        <v>0</v>
      </c>
      <c r="K91" s="408">
        <f t="shared" si="9"/>
        <v>0</v>
      </c>
      <c r="L91" s="383">
        <v>0</v>
      </c>
      <c r="M91" s="383">
        <v>0</v>
      </c>
      <c r="N91" s="396">
        <f t="shared" si="8"/>
        <v>0</v>
      </c>
      <c r="O91" s="397">
        <f t="shared" si="10"/>
        <v>2</v>
      </c>
      <c r="P91" s="398">
        <f t="shared" si="11"/>
        <v>1200000</v>
      </c>
      <c r="Q91" s="398"/>
      <c r="R91" s="414"/>
      <c r="S91" s="415"/>
      <c r="T91" s="416" t="s">
        <v>845</v>
      </c>
    </row>
    <row r="92" spans="1:20">
      <c r="A92" s="410"/>
      <c r="B92" s="417" t="s">
        <v>638</v>
      </c>
      <c r="C92" s="390">
        <f t="shared" si="7"/>
        <v>78</v>
      </c>
      <c r="D92" s="412" t="s">
        <v>582</v>
      </c>
      <c r="E92" s="413">
        <v>1</v>
      </c>
      <c r="F92" s="405">
        <v>1500000</v>
      </c>
      <c r="G92" s="407">
        <f t="shared" si="12"/>
        <v>1500000</v>
      </c>
      <c r="H92" s="409">
        <v>45442</v>
      </c>
      <c r="I92" s="383">
        <v>0</v>
      </c>
      <c r="J92" s="383">
        <v>0</v>
      </c>
      <c r="K92" s="408">
        <f t="shared" si="9"/>
        <v>0</v>
      </c>
      <c r="L92" s="383">
        <v>0</v>
      </c>
      <c r="M92" s="383">
        <v>0</v>
      </c>
      <c r="N92" s="396">
        <f t="shared" si="8"/>
        <v>0</v>
      </c>
      <c r="O92" s="397">
        <f t="shared" si="10"/>
        <v>1</v>
      </c>
      <c r="P92" s="398">
        <f t="shared" si="11"/>
        <v>1500000</v>
      </c>
      <c r="Q92" s="398"/>
      <c r="R92" s="414"/>
      <c r="S92" s="415"/>
      <c r="T92" s="416" t="s">
        <v>846</v>
      </c>
    </row>
    <row r="93" spans="1:20">
      <c r="A93" s="410"/>
      <c r="B93" s="411" t="s">
        <v>634</v>
      </c>
      <c r="C93" s="390">
        <f t="shared" si="7"/>
        <v>79</v>
      </c>
      <c r="D93" s="412" t="s">
        <v>578</v>
      </c>
      <c r="E93" s="413">
        <v>1</v>
      </c>
      <c r="F93" s="405">
        <v>1900000</v>
      </c>
      <c r="G93" s="407">
        <f t="shared" si="12"/>
        <v>1900000</v>
      </c>
      <c r="H93" s="409">
        <v>45442</v>
      </c>
      <c r="I93" s="383">
        <v>0</v>
      </c>
      <c r="J93" s="383">
        <v>0</v>
      </c>
      <c r="K93" s="408">
        <f t="shared" si="9"/>
        <v>0</v>
      </c>
      <c r="L93" s="383">
        <v>0</v>
      </c>
      <c r="M93" s="383">
        <v>0</v>
      </c>
      <c r="N93" s="396">
        <f t="shared" si="8"/>
        <v>0</v>
      </c>
      <c r="O93" s="397">
        <f t="shared" si="10"/>
        <v>1</v>
      </c>
      <c r="P93" s="398">
        <f t="shared" si="11"/>
        <v>1900000</v>
      </c>
      <c r="Q93" s="398"/>
      <c r="R93" s="414"/>
      <c r="S93" s="415"/>
      <c r="T93" s="416" t="s">
        <v>847</v>
      </c>
    </row>
    <row r="94" spans="1:20">
      <c r="A94" s="410"/>
      <c r="B94" s="411" t="s">
        <v>670</v>
      </c>
      <c r="C94" s="390">
        <f t="shared" si="7"/>
        <v>80</v>
      </c>
      <c r="D94" s="412" t="s">
        <v>611</v>
      </c>
      <c r="E94" s="413">
        <v>1</v>
      </c>
      <c r="F94" s="405">
        <v>950000</v>
      </c>
      <c r="G94" s="407">
        <f t="shared" si="12"/>
        <v>950000</v>
      </c>
      <c r="H94" s="409">
        <v>45447</v>
      </c>
      <c r="I94" s="383">
        <v>0</v>
      </c>
      <c r="J94" s="383">
        <v>0</v>
      </c>
      <c r="K94" s="408">
        <f t="shared" si="9"/>
        <v>0</v>
      </c>
      <c r="L94" s="383">
        <v>0</v>
      </c>
      <c r="M94" s="383">
        <v>0</v>
      </c>
      <c r="N94" s="396">
        <f t="shared" si="8"/>
        <v>0</v>
      </c>
      <c r="O94" s="397">
        <f t="shared" si="10"/>
        <v>1</v>
      </c>
      <c r="P94" s="398">
        <f t="shared" si="11"/>
        <v>950000</v>
      </c>
      <c r="Q94" s="398"/>
      <c r="R94" s="414"/>
      <c r="S94" s="415"/>
      <c r="T94" s="416" t="s">
        <v>848</v>
      </c>
    </row>
    <row r="95" spans="1:20" ht="22.5">
      <c r="A95" s="410"/>
      <c r="B95" s="411" t="s">
        <v>671</v>
      </c>
      <c r="C95" s="390">
        <f t="shared" si="7"/>
        <v>81</v>
      </c>
      <c r="D95" s="412" t="s">
        <v>612</v>
      </c>
      <c r="E95" s="413">
        <v>1</v>
      </c>
      <c r="F95" s="405">
        <v>265000</v>
      </c>
      <c r="G95" s="407">
        <f t="shared" si="12"/>
        <v>265000</v>
      </c>
      <c r="H95" s="409">
        <v>45447</v>
      </c>
      <c r="I95" s="383">
        <v>0</v>
      </c>
      <c r="J95" s="383">
        <v>0</v>
      </c>
      <c r="K95" s="408">
        <f t="shared" si="9"/>
        <v>0</v>
      </c>
      <c r="L95" s="383">
        <v>0</v>
      </c>
      <c r="M95" s="383">
        <v>0</v>
      </c>
      <c r="N95" s="396">
        <f t="shared" si="8"/>
        <v>0</v>
      </c>
      <c r="O95" s="397">
        <f t="shared" si="10"/>
        <v>1</v>
      </c>
      <c r="P95" s="398">
        <f t="shared" si="11"/>
        <v>265000</v>
      </c>
      <c r="Q95" s="398"/>
      <c r="R95" s="414"/>
      <c r="S95" s="415"/>
      <c r="T95" s="416" t="s">
        <v>849</v>
      </c>
    </row>
    <row r="96" spans="1:20" ht="22.5">
      <c r="A96" s="410"/>
      <c r="B96" s="417" t="s">
        <v>643</v>
      </c>
      <c r="C96" s="390">
        <f t="shared" si="7"/>
        <v>82</v>
      </c>
      <c r="D96" s="412" t="s">
        <v>587</v>
      </c>
      <c r="E96" s="413">
        <v>1</v>
      </c>
      <c r="F96" s="405">
        <v>3950000</v>
      </c>
      <c r="G96" s="407">
        <f t="shared" si="12"/>
        <v>3950000</v>
      </c>
      <c r="H96" s="409">
        <v>45478</v>
      </c>
      <c r="I96" s="383">
        <v>0</v>
      </c>
      <c r="J96" s="383">
        <v>0</v>
      </c>
      <c r="K96" s="408">
        <f t="shared" si="9"/>
        <v>0</v>
      </c>
      <c r="L96" s="383">
        <v>0</v>
      </c>
      <c r="M96" s="383">
        <v>0</v>
      </c>
      <c r="N96" s="396">
        <f t="shared" si="8"/>
        <v>0</v>
      </c>
      <c r="O96" s="397">
        <f t="shared" si="10"/>
        <v>1</v>
      </c>
      <c r="P96" s="398">
        <f t="shared" si="11"/>
        <v>3950000</v>
      </c>
      <c r="Q96" s="398"/>
      <c r="R96" s="414"/>
      <c r="S96" s="415"/>
      <c r="T96" s="416" t="s">
        <v>850</v>
      </c>
    </row>
    <row r="97" spans="1:20" ht="22.5">
      <c r="A97" s="410"/>
      <c r="B97" s="417" t="s">
        <v>664</v>
      </c>
      <c r="C97" s="390">
        <f t="shared" si="7"/>
        <v>83</v>
      </c>
      <c r="D97" s="412" t="s">
        <v>606</v>
      </c>
      <c r="E97" s="413">
        <v>1</v>
      </c>
      <c r="F97" s="405">
        <v>1298000</v>
      </c>
      <c r="G97" s="407">
        <f t="shared" si="12"/>
        <v>1298000</v>
      </c>
      <c r="H97" s="409">
        <v>45555</v>
      </c>
      <c r="I97" s="383">
        <v>0</v>
      </c>
      <c r="J97" s="383">
        <v>0</v>
      </c>
      <c r="K97" s="408">
        <f t="shared" si="9"/>
        <v>0</v>
      </c>
      <c r="L97" s="383">
        <v>0</v>
      </c>
      <c r="M97" s="383">
        <v>0</v>
      </c>
      <c r="N97" s="396">
        <f t="shared" si="8"/>
        <v>0</v>
      </c>
      <c r="O97" s="397">
        <f t="shared" si="10"/>
        <v>1</v>
      </c>
      <c r="P97" s="398">
        <f t="shared" si="11"/>
        <v>1298000</v>
      </c>
      <c r="Q97" s="398"/>
      <c r="R97" s="414"/>
      <c r="S97" s="415"/>
      <c r="T97" s="416" t="s">
        <v>851</v>
      </c>
    </row>
    <row r="98" spans="1:20" ht="22.5">
      <c r="A98" s="410"/>
      <c r="B98" s="417" t="s">
        <v>640</v>
      </c>
      <c r="C98" s="390">
        <f t="shared" si="7"/>
        <v>84</v>
      </c>
      <c r="D98" s="412" t="s">
        <v>584</v>
      </c>
      <c r="E98" s="413">
        <v>1</v>
      </c>
      <c r="F98" s="405">
        <v>11700000</v>
      </c>
      <c r="G98" s="407">
        <f t="shared" si="12"/>
        <v>11700000</v>
      </c>
      <c r="H98" s="409">
        <v>45618</v>
      </c>
      <c r="I98" s="383">
        <v>0</v>
      </c>
      <c r="J98" s="383">
        <v>0</v>
      </c>
      <c r="K98" s="408">
        <f t="shared" si="9"/>
        <v>0</v>
      </c>
      <c r="L98" s="383">
        <v>0</v>
      </c>
      <c r="M98" s="383">
        <v>0</v>
      </c>
      <c r="N98" s="396">
        <f t="shared" si="8"/>
        <v>0</v>
      </c>
      <c r="O98" s="397">
        <f t="shared" si="10"/>
        <v>1</v>
      </c>
      <c r="P98" s="398">
        <f t="shared" si="11"/>
        <v>11700000</v>
      </c>
      <c r="Q98" s="398"/>
      <c r="R98" s="414"/>
      <c r="S98" s="415"/>
      <c r="T98" s="416" t="s">
        <v>852</v>
      </c>
    </row>
    <row r="99" spans="1:20" ht="22.5">
      <c r="A99" s="388"/>
      <c r="B99" s="389" t="s">
        <v>658</v>
      </c>
      <c r="C99" s="390">
        <f t="shared" si="7"/>
        <v>85</v>
      </c>
      <c r="D99" s="391" t="s">
        <v>601</v>
      </c>
      <c r="E99" s="418">
        <v>1</v>
      </c>
      <c r="F99" s="405">
        <v>2150000</v>
      </c>
      <c r="G99" s="407">
        <f t="shared" si="12"/>
        <v>2150000</v>
      </c>
      <c r="H99" s="409">
        <v>45618</v>
      </c>
      <c r="I99" s="383">
        <v>0</v>
      </c>
      <c r="J99" s="383">
        <v>0</v>
      </c>
      <c r="K99" s="419">
        <f t="shared" si="9"/>
        <v>0</v>
      </c>
      <c r="L99" s="383">
        <v>0</v>
      </c>
      <c r="M99" s="383">
        <v>0</v>
      </c>
      <c r="N99" s="396">
        <f t="shared" si="8"/>
        <v>0</v>
      </c>
      <c r="O99" s="397">
        <f t="shared" si="10"/>
        <v>1</v>
      </c>
      <c r="P99" s="398">
        <f t="shared" si="11"/>
        <v>2150000</v>
      </c>
      <c r="Q99" s="398"/>
      <c r="R99" s="398"/>
      <c r="S99" s="399"/>
      <c r="T99" s="400" t="s">
        <v>853</v>
      </c>
    </row>
    <row r="100" spans="1:20">
      <c r="A100" s="388"/>
      <c r="B100" s="389" t="s">
        <v>672</v>
      </c>
      <c r="C100" s="390">
        <f t="shared" si="7"/>
        <v>86</v>
      </c>
      <c r="D100" s="391" t="s">
        <v>613</v>
      </c>
      <c r="E100" s="418">
        <v>1</v>
      </c>
      <c r="F100" s="405">
        <v>2250000</v>
      </c>
      <c r="G100" s="407">
        <f t="shared" si="12"/>
        <v>2250000</v>
      </c>
      <c r="H100" s="409">
        <v>45618</v>
      </c>
      <c r="I100" s="383">
        <v>0</v>
      </c>
      <c r="J100" s="383">
        <v>0</v>
      </c>
      <c r="K100" s="419">
        <f t="shared" si="9"/>
        <v>0</v>
      </c>
      <c r="L100" s="383">
        <v>0</v>
      </c>
      <c r="M100" s="383">
        <v>0</v>
      </c>
      <c r="N100" s="396">
        <f t="shared" si="8"/>
        <v>0</v>
      </c>
      <c r="O100" s="397">
        <f t="shared" si="10"/>
        <v>1</v>
      </c>
      <c r="P100" s="398">
        <f t="shared" si="11"/>
        <v>2250000</v>
      </c>
      <c r="Q100" s="398"/>
      <c r="R100" s="398"/>
      <c r="S100" s="399"/>
      <c r="T100" s="400" t="s">
        <v>854</v>
      </c>
    </row>
    <row r="101" spans="1:20">
      <c r="A101" s="388"/>
      <c r="B101" s="389" t="s">
        <v>673</v>
      </c>
      <c r="C101" s="390">
        <f t="shared" si="7"/>
        <v>87</v>
      </c>
      <c r="D101" s="391" t="s">
        <v>409</v>
      </c>
      <c r="E101" s="420">
        <v>2</v>
      </c>
      <c r="F101" s="405">
        <f>2150000/2</f>
        <v>1075000</v>
      </c>
      <c r="G101" s="407">
        <f t="shared" si="12"/>
        <v>2150000</v>
      </c>
      <c r="H101" s="409">
        <v>45618</v>
      </c>
      <c r="I101" s="383">
        <v>0</v>
      </c>
      <c r="J101" s="383">
        <v>0</v>
      </c>
      <c r="K101" s="421">
        <f t="shared" si="9"/>
        <v>0</v>
      </c>
      <c r="L101" s="422">
        <v>0</v>
      </c>
      <c r="M101" s="422">
        <v>0</v>
      </c>
      <c r="N101" s="423">
        <f t="shared" si="8"/>
        <v>0</v>
      </c>
      <c r="O101" s="397">
        <f t="shared" si="10"/>
        <v>2</v>
      </c>
      <c r="P101" s="424">
        <f t="shared" si="11"/>
        <v>2150000</v>
      </c>
      <c r="Q101" s="398"/>
      <c r="R101" s="398"/>
      <c r="S101" s="399"/>
      <c r="T101" s="400" t="s">
        <v>855</v>
      </c>
    </row>
    <row r="102" spans="1:20">
      <c r="A102" s="388"/>
      <c r="B102" s="389" t="s">
        <v>673</v>
      </c>
      <c r="C102" s="390">
        <f t="shared" si="7"/>
        <v>88</v>
      </c>
      <c r="D102" s="391" t="s">
        <v>409</v>
      </c>
      <c r="E102" s="418">
        <v>2</v>
      </c>
      <c r="F102" s="405">
        <f>2250000/2</f>
        <v>1125000</v>
      </c>
      <c r="G102" s="407">
        <f t="shared" si="12"/>
        <v>2250000</v>
      </c>
      <c r="H102" s="409">
        <v>45618</v>
      </c>
      <c r="I102" s="383">
        <v>0</v>
      </c>
      <c r="J102" s="383">
        <v>0</v>
      </c>
      <c r="K102" s="419">
        <f t="shared" si="9"/>
        <v>0</v>
      </c>
      <c r="L102" s="383">
        <v>0</v>
      </c>
      <c r="M102" s="383">
        <v>0</v>
      </c>
      <c r="N102" s="396">
        <f t="shared" si="8"/>
        <v>0</v>
      </c>
      <c r="O102" s="397">
        <f t="shared" si="10"/>
        <v>2</v>
      </c>
      <c r="P102" s="398">
        <f t="shared" si="11"/>
        <v>2250000</v>
      </c>
      <c r="Q102" s="398"/>
      <c r="R102" s="398"/>
      <c r="S102" s="399"/>
      <c r="T102" s="400" t="s">
        <v>856</v>
      </c>
    </row>
    <row r="103" spans="1:20">
      <c r="A103" s="388"/>
      <c r="B103" s="389" t="s">
        <v>674</v>
      </c>
      <c r="C103" s="390">
        <f t="shared" si="7"/>
        <v>89</v>
      </c>
      <c r="D103" s="391" t="s">
        <v>614</v>
      </c>
      <c r="E103" s="418">
        <v>1</v>
      </c>
      <c r="F103" s="405">
        <v>450000</v>
      </c>
      <c r="G103" s="407">
        <f t="shared" si="12"/>
        <v>450000</v>
      </c>
      <c r="H103" s="409">
        <v>45618</v>
      </c>
      <c r="I103" s="383">
        <v>0</v>
      </c>
      <c r="J103" s="383">
        <v>0</v>
      </c>
      <c r="K103" s="419">
        <f t="shared" si="9"/>
        <v>0</v>
      </c>
      <c r="L103" s="383">
        <v>0</v>
      </c>
      <c r="M103" s="383">
        <v>0</v>
      </c>
      <c r="N103" s="396">
        <f t="shared" si="8"/>
        <v>0</v>
      </c>
      <c r="O103" s="397">
        <f t="shared" si="10"/>
        <v>1</v>
      </c>
      <c r="P103" s="398">
        <f t="shared" si="11"/>
        <v>450000</v>
      </c>
      <c r="Q103" s="398"/>
      <c r="R103" s="398"/>
      <c r="S103" s="399"/>
      <c r="T103" s="400"/>
    </row>
    <row r="104" spans="1:20">
      <c r="A104" s="388"/>
      <c r="B104" s="389" t="s">
        <v>675</v>
      </c>
      <c r="C104" s="390">
        <f t="shared" si="7"/>
        <v>90</v>
      </c>
      <c r="D104" s="391" t="s">
        <v>615</v>
      </c>
      <c r="E104" s="418">
        <v>1</v>
      </c>
      <c r="F104" s="405">
        <v>450000</v>
      </c>
      <c r="G104" s="407">
        <f t="shared" si="12"/>
        <v>450000</v>
      </c>
      <c r="H104" s="409">
        <v>45618</v>
      </c>
      <c r="I104" s="383">
        <v>0</v>
      </c>
      <c r="J104" s="383">
        <v>0</v>
      </c>
      <c r="K104" s="419">
        <f t="shared" si="9"/>
        <v>0</v>
      </c>
      <c r="L104" s="383">
        <v>0</v>
      </c>
      <c r="M104" s="383">
        <v>0</v>
      </c>
      <c r="N104" s="396">
        <f t="shared" si="8"/>
        <v>0</v>
      </c>
      <c r="O104" s="397">
        <f t="shared" si="10"/>
        <v>1</v>
      </c>
      <c r="P104" s="398">
        <f t="shared" si="11"/>
        <v>450000</v>
      </c>
      <c r="Q104" s="398"/>
      <c r="R104" s="398"/>
      <c r="S104" s="399"/>
      <c r="T104" s="400"/>
    </row>
    <row r="105" spans="1:20">
      <c r="A105" s="388"/>
      <c r="B105" s="389" t="s">
        <v>640</v>
      </c>
      <c r="C105" s="390">
        <f t="shared" si="7"/>
        <v>91</v>
      </c>
      <c r="D105" s="391" t="s">
        <v>584</v>
      </c>
      <c r="E105" s="418">
        <v>2</v>
      </c>
      <c r="F105" s="405">
        <f>28000000/2</f>
        <v>14000000</v>
      </c>
      <c r="G105" s="407">
        <f t="shared" si="12"/>
        <v>28000000</v>
      </c>
      <c r="H105" s="409">
        <v>45638</v>
      </c>
      <c r="I105" s="383">
        <v>0</v>
      </c>
      <c r="J105" s="383">
        <v>0</v>
      </c>
      <c r="K105" s="419">
        <f t="shared" si="9"/>
        <v>0</v>
      </c>
      <c r="L105" s="383">
        <v>0</v>
      </c>
      <c r="M105" s="383">
        <v>0</v>
      </c>
      <c r="N105" s="396">
        <f t="shared" si="8"/>
        <v>0</v>
      </c>
      <c r="O105" s="397">
        <f t="shared" si="10"/>
        <v>2</v>
      </c>
      <c r="P105" s="398">
        <f t="shared" si="11"/>
        <v>28000000</v>
      </c>
      <c r="Q105" s="398"/>
      <c r="R105" s="398"/>
      <c r="S105" s="399"/>
      <c r="T105" s="400" t="s">
        <v>857</v>
      </c>
    </row>
    <row r="106" spans="1:20" ht="22.5">
      <c r="A106" s="388"/>
      <c r="B106" s="389" t="s">
        <v>676</v>
      </c>
      <c r="C106" s="390">
        <f t="shared" si="7"/>
        <v>92</v>
      </c>
      <c r="D106" s="391" t="s">
        <v>616</v>
      </c>
      <c r="E106" s="418">
        <v>2</v>
      </c>
      <c r="F106" s="405">
        <f>320000/2</f>
        <v>160000</v>
      </c>
      <c r="G106" s="407">
        <f t="shared" si="12"/>
        <v>320000</v>
      </c>
      <c r="H106" s="409">
        <v>45646</v>
      </c>
      <c r="I106" s="383">
        <v>0</v>
      </c>
      <c r="J106" s="383">
        <v>0</v>
      </c>
      <c r="K106" s="419">
        <f t="shared" si="9"/>
        <v>0</v>
      </c>
      <c r="L106" s="383">
        <v>0</v>
      </c>
      <c r="M106" s="383">
        <v>0</v>
      </c>
      <c r="N106" s="396">
        <f t="shared" si="8"/>
        <v>0</v>
      </c>
      <c r="O106" s="397">
        <f t="shared" si="10"/>
        <v>2</v>
      </c>
      <c r="P106" s="398">
        <f t="shared" si="11"/>
        <v>320000</v>
      </c>
      <c r="Q106" s="398"/>
      <c r="R106" s="398"/>
      <c r="S106" s="399"/>
      <c r="T106" s="400" t="s">
        <v>858</v>
      </c>
    </row>
    <row r="107" spans="1:20" ht="22.5">
      <c r="A107" s="388"/>
      <c r="B107" s="389" t="s">
        <v>677</v>
      </c>
      <c r="C107" s="390">
        <f t="shared" si="7"/>
        <v>93</v>
      </c>
      <c r="D107" s="391" t="s">
        <v>617</v>
      </c>
      <c r="E107" s="418">
        <v>2</v>
      </c>
      <c r="F107" s="405">
        <f>310000/2</f>
        <v>155000</v>
      </c>
      <c r="G107" s="407">
        <f t="shared" si="12"/>
        <v>310000</v>
      </c>
      <c r="H107" s="409">
        <v>45646</v>
      </c>
      <c r="I107" s="383">
        <v>0</v>
      </c>
      <c r="J107" s="383">
        <v>0</v>
      </c>
      <c r="K107" s="419">
        <f t="shared" si="9"/>
        <v>0</v>
      </c>
      <c r="L107" s="383">
        <v>0</v>
      </c>
      <c r="M107" s="383">
        <v>0</v>
      </c>
      <c r="N107" s="396">
        <f t="shared" si="8"/>
        <v>0</v>
      </c>
      <c r="O107" s="397">
        <f t="shared" si="10"/>
        <v>2</v>
      </c>
      <c r="P107" s="398">
        <f t="shared" si="11"/>
        <v>310000</v>
      </c>
      <c r="Q107" s="398"/>
      <c r="R107" s="398"/>
      <c r="S107" s="399"/>
      <c r="T107" s="400" t="s">
        <v>859</v>
      </c>
    </row>
    <row r="108" spans="1:20">
      <c r="A108" s="388"/>
      <c r="B108" s="389" t="s">
        <v>678</v>
      </c>
      <c r="C108" s="390">
        <f t="shared" si="7"/>
        <v>94</v>
      </c>
      <c r="D108" s="391" t="s">
        <v>618</v>
      </c>
      <c r="E108" s="418">
        <v>1</v>
      </c>
      <c r="F108" s="405">
        <v>3350000</v>
      </c>
      <c r="G108" s="407">
        <f t="shared" si="12"/>
        <v>3350000</v>
      </c>
      <c r="H108" s="409">
        <v>45646</v>
      </c>
      <c r="I108" s="383">
        <v>0</v>
      </c>
      <c r="J108" s="383">
        <v>0</v>
      </c>
      <c r="K108" s="419">
        <f t="shared" si="9"/>
        <v>0</v>
      </c>
      <c r="L108" s="383">
        <v>0</v>
      </c>
      <c r="M108" s="383">
        <v>0</v>
      </c>
      <c r="N108" s="396">
        <f t="shared" si="8"/>
        <v>0</v>
      </c>
      <c r="O108" s="397">
        <f t="shared" si="10"/>
        <v>1</v>
      </c>
      <c r="P108" s="398">
        <f t="shared" si="11"/>
        <v>3350000</v>
      </c>
      <c r="Q108" s="398"/>
      <c r="R108" s="398"/>
      <c r="S108" s="399"/>
      <c r="T108" s="400" t="s">
        <v>860</v>
      </c>
    </row>
    <row r="109" spans="1:20" ht="22.5">
      <c r="A109" s="388"/>
      <c r="B109" s="389" t="s">
        <v>679</v>
      </c>
      <c r="C109" s="390">
        <f t="shared" si="7"/>
        <v>95</v>
      </c>
      <c r="D109" s="391" t="s">
        <v>619</v>
      </c>
      <c r="E109" s="418">
        <v>4</v>
      </c>
      <c r="F109" s="405">
        <f>540000/4</f>
        <v>135000</v>
      </c>
      <c r="G109" s="407">
        <f t="shared" si="12"/>
        <v>540000</v>
      </c>
      <c r="H109" s="409">
        <v>45646</v>
      </c>
      <c r="I109" s="383">
        <v>0</v>
      </c>
      <c r="J109" s="383">
        <v>0</v>
      </c>
      <c r="K109" s="419">
        <f t="shared" si="9"/>
        <v>0</v>
      </c>
      <c r="L109" s="383">
        <v>0</v>
      </c>
      <c r="M109" s="383">
        <v>0</v>
      </c>
      <c r="N109" s="396">
        <f t="shared" si="8"/>
        <v>0</v>
      </c>
      <c r="O109" s="397">
        <f t="shared" si="10"/>
        <v>4</v>
      </c>
      <c r="P109" s="398">
        <f t="shared" si="11"/>
        <v>540000</v>
      </c>
      <c r="Q109" s="398"/>
      <c r="R109" s="398"/>
      <c r="S109" s="399"/>
      <c r="T109" s="400" t="s">
        <v>861</v>
      </c>
    </row>
    <row r="110" spans="1:20" ht="22.5">
      <c r="A110" s="388"/>
      <c r="B110" s="389" t="s">
        <v>679</v>
      </c>
      <c r="C110" s="390">
        <f t="shared" si="7"/>
        <v>96</v>
      </c>
      <c r="D110" s="391" t="s">
        <v>619</v>
      </c>
      <c r="E110" s="418">
        <v>4</v>
      </c>
      <c r="F110" s="405">
        <f>600000/4</f>
        <v>150000</v>
      </c>
      <c r="G110" s="407">
        <f t="shared" si="12"/>
        <v>600000</v>
      </c>
      <c r="H110" s="409">
        <v>45646</v>
      </c>
      <c r="I110" s="383">
        <v>0</v>
      </c>
      <c r="J110" s="383">
        <v>0</v>
      </c>
      <c r="K110" s="419">
        <f t="shared" si="9"/>
        <v>0</v>
      </c>
      <c r="L110" s="383">
        <v>0</v>
      </c>
      <c r="M110" s="383">
        <v>0</v>
      </c>
      <c r="N110" s="396">
        <f t="shared" si="8"/>
        <v>0</v>
      </c>
      <c r="O110" s="397">
        <f t="shared" si="10"/>
        <v>4</v>
      </c>
      <c r="P110" s="398">
        <f t="shared" si="11"/>
        <v>600000</v>
      </c>
      <c r="Q110" s="398"/>
      <c r="R110" s="398"/>
      <c r="S110" s="399"/>
      <c r="T110" s="400" t="s">
        <v>862</v>
      </c>
    </row>
    <row r="111" spans="1:20" ht="22.5">
      <c r="A111" s="388"/>
      <c r="B111" s="389" t="s">
        <v>679</v>
      </c>
      <c r="C111" s="390">
        <f t="shared" si="7"/>
        <v>97</v>
      </c>
      <c r="D111" s="391" t="s">
        <v>619</v>
      </c>
      <c r="E111" s="418">
        <v>4</v>
      </c>
      <c r="F111" s="405">
        <f>660000/4</f>
        <v>165000</v>
      </c>
      <c r="G111" s="407">
        <f t="shared" si="12"/>
        <v>660000</v>
      </c>
      <c r="H111" s="409">
        <v>45646</v>
      </c>
      <c r="I111" s="383">
        <v>0</v>
      </c>
      <c r="J111" s="383">
        <v>0</v>
      </c>
      <c r="K111" s="419">
        <f t="shared" si="9"/>
        <v>0</v>
      </c>
      <c r="L111" s="383">
        <v>0</v>
      </c>
      <c r="M111" s="383">
        <v>0</v>
      </c>
      <c r="N111" s="396">
        <f t="shared" si="8"/>
        <v>0</v>
      </c>
      <c r="O111" s="397">
        <f t="shared" si="10"/>
        <v>4</v>
      </c>
      <c r="P111" s="398">
        <f t="shared" si="11"/>
        <v>660000</v>
      </c>
      <c r="Q111" s="398"/>
      <c r="R111" s="398"/>
      <c r="S111" s="399"/>
      <c r="T111" s="400" t="s">
        <v>863</v>
      </c>
    </row>
    <row r="112" spans="1:20">
      <c r="A112" s="388"/>
      <c r="B112" s="389" t="s">
        <v>680</v>
      </c>
      <c r="C112" s="390">
        <f t="shared" si="7"/>
        <v>98</v>
      </c>
      <c r="D112" s="391" t="s">
        <v>620</v>
      </c>
      <c r="E112" s="418">
        <v>1</v>
      </c>
      <c r="F112" s="405">
        <v>150000</v>
      </c>
      <c r="G112" s="407">
        <f t="shared" si="12"/>
        <v>150000</v>
      </c>
      <c r="H112" s="409">
        <v>45646</v>
      </c>
      <c r="I112" s="383">
        <v>0</v>
      </c>
      <c r="J112" s="383">
        <v>0</v>
      </c>
      <c r="K112" s="419">
        <f t="shared" si="9"/>
        <v>0</v>
      </c>
      <c r="L112" s="383">
        <v>0</v>
      </c>
      <c r="M112" s="383">
        <v>0</v>
      </c>
      <c r="N112" s="396">
        <f t="shared" si="8"/>
        <v>0</v>
      </c>
      <c r="O112" s="397">
        <f t="shared" si="10"/>
        <v>1</v>
      </c>
      <c r="P112" s="398">
        <f t="shared" si="11"/>
        <v>150000</v>
      </c>
      <c r="Q112" s="398"/>
      <c r="R112" s="398"/>
      <c r="S112" s="399"/>
      <c r="T112" s="400" t="s">
        <v>864</v>
      </c>
    </row>
    <row r="113" spans="1:20">
      <c r="A113" s="388"/>
      <c r="B113" s="425" t="s">
        <v>681</v>
      </c>
      <c r="C113" s="390">
        <f t="shared" si="7"/>
        <v>99</v>
      </c>
      <c r="D113" s="391" t="s">
        <v>621</v>
      </c>
      <c r="E113" s="418">
        <v>1</v>
      </c>
      <c r="F113" s="405">
        <v>2585000</v>
      </c>
      <c r="G113" s="407">
        <f t="shared" si="12"/>
        <v>2585000</v>
      </c>
      <c r="H113" s="409">
        <v>45646</v>
      </c>
      <c r="I113" s="383">
        <v>0</v>
      </c>
      <c r="J113" s="383">
        <v>0</v>
      </c>
      <c r="K113" s="408">
        <f t="shared" si="9"/>
        <v>0</v>
      </c>
      <c r="L113" s="383">
        <v>0</v>
      </c>
      <c r="M113" s="383">
        <v>0</v>
      </c>
      <c r="N113" s="396">
        <f t="shared" si="8"/>
        <v>0</v>
      </c>
      <c r="O113" s="397">
        <f t="shared" si="10"/>
        <v>1</v>
      </c>
      <c r="P113" s="398">
        <f t="shared" si="11"/>
        <v>2585000</v>
      </c>
      <c r="Q113" s="398"/>
      <c r="R113" s="398"/>
      <c r="S113" s="399"/>
      <c r="T113" s="400" t="s">
        <v>865</v>
      </c>
    </row>
    <row r="114" spans="1:20" ht="22.5">
      <c r="A114" s="388"/>
      <c r="B114" s="425" t="s">
        <v>679</v>
      </c>
      <c r="C114" s="390">
        <f t="shared" si="7"/>
        <v>100</v>
      </c>
      <c r="D114" s="391" t="s">
        <v>619</v>
      </c>
      <c r="E114" s="418">
        <v>4</v>
      </c>
      <c r="F114" s="405">
        <f>480000/4</f>
        <v>120000</v>
      </c>
      <c r="G114" s="407">
        <f t="shared" si="12"/>
        <v>480000</v>
      </c>
      <c r="H114" s="409">
        <v>45646</v>
      </c>
      <c r="I114" s="383">
        <v>0</v>
      </c>
      <c r="J114" s="383">
        <v>0</v>
      </c>
      <c r="K114" s="408">
        <f t="shared" si="9"/>
        <v>0</v>
      </c>
      <c r="L114" s="383">
        <v>0</v>
      </c>
      <c r="M114" s="383">
        <v>0</v>
      </c>
      <c r="N114" s="396">
        <f t="shared" si="8"/>
        <v>0</v>
      </c>
      <c r="O114" s="397">
        <f t="shared" si="10"/>
        <v>4</v>
      </c>
      <c r="P114" s="398">
        <f t="shared" si="11"/>
        <v>480000</v>
      </c>
      <c r="Q114" s="398"/>
      <c r="R114" s="398"/>
      <c r="S114" s="399"/>
      <c r="T114" s="400" t="s">
        <v>866</v>
      </c>
    </row>
    <row r="115" spans="1:20" ht="22.5">
      <c r="A115" s="388"/>
      <c r="B115" s="425" t="s">
        <v>682</v>
      </c>
      <c r="C115" s="390">
        <f t="shared" si="7"/>
        <v>101</v>
      </c>
      <c r="D115" s="391" t="s">
        <v>622</v>
      </c>
      <c r="E115" s="418">
        <v>2</v>
      </c>
      <c r="F115" s="405">
        <f>740000/2</f>
        <v>370000</v>
      </c>
      <c r="G115" s="407">
        <f t="shared" si="12"/>
        <v>740000</v>
      </c>
      <c r="H115" s="409">
        <v>45646</v>
      </c>
      <c r="I115" s="383">
        <v>0</v>
      </c>
      <c r="J115" s="383">
        <v>0</v>
      </c>
      <c r="K115" s="408">
        <f t="shared" si="9"/>
        <v>0</v>
      </c>
      <c r="L115" s="383">
        <v>0</v>
      </c>
      <c r="M115" s="383">
        <v>0</v>
      </c>
      <c r="N115" s="396">
        <f t="shared" si="8"/>
        <v>0</v>
      </c>
      <c r="O115" s="397">
        <f t="shared" si="10"/>
        <v>2</v>
      </c>
      <c r="P115" s="398">
        <f t="shared" si="11"/>
        <v>740000</v>
      </c>
      <c r="Q115" s="398"/>
      <c r="R115" s="398"/>
      <c r="S115" s="399"/>
      <c r="T115" s="400" t="s">
        <v>867</v>
      </c>
    </row>
    <row r="116" spans="1:20">
      <c r="A116" s="388"/>
      <c r="B116" s="425" t="s">
        <v>632</v>
      </c>
      <c r="C116" s="390">
        <f t="shared" si="7"/>
        <v>102</v>
      </c>
      <c r="D116" s="391" t="s">
        <v>576</v>
      </c>
      <c r="E116" s="383">
        <v>30</v>
      </c>
      <c r="F116" s="405">
        <f>12000000/30</f>
        <v>400000</v>
      </c>
      <c r="G116" s="407">
        <f t="shared" si="12"/>
        <v>12000000</v>
      </c>
      <c r="H116" s="409">
        <v>45646</v>
      </c>
      <c r="I116" s="383">
        <v>0</v>
      </c>
      <c r="J116" s="383">
        <v>0</v>
      </c>
      <c r="K116" s="426">
        <f t="shared" si="9"/>
        <v>0</v>
      </c>
      <c r="L116" s="383">
        <v>0</v>
      </c>
      <c r="M116" s="383">
        <v>0</v>
      </c>
      <c r="N116" s="396">
        <f t="shared" si="8"/>
        <v>0</v>
      </c>
      <c r="O116" s="397">
        <f t="shared" si="10"/>
        <v>30</v>
      </c>
      <c r="P116" s="398">
        <f t="shared" si="11"/>
        <v>12000000</v>
      </c>
      <c r="Q116" s="398"/>
      <c r="R116" s="398"/>
      <c r="S116" s="399"/>
      <c r="T116" s="400" t="s">
        <v>868</v>
      </c>
    </row>
    <row r="117" spans="1:20" ht="56.25">
      <c r="A117" s="388"/>
      <c r="B117" s="425" t="s">
        <v>683</v>
      </c>
      <c r="C117" s="390">
        <f t="shared" si="7"/>
        <v>103</v>
      </c>
      <c r="D117" s="391" t="s">
        <v>623</v>
      </c>
      <c r="E117" s="383"/>
      <c r="F117" s="405"/>
      <c r="G117" s="407"/>
      <c r="H117" s="409">
        <v>45933</v>
      </c>
      <c r="I117" s="383">
        <v>1</v>
      </c>
      <c r="J117" s="383">
        <v>1150000</v>
      </c>
      <c r="K117" s="426">
        <f t="shared" si="9"/>
        <v>1150000</v>
      </c>
      <c r="L117" s="383">
        <v>0</v>
      </c>
      <c r="M117" s="383">
        <v>0</v>
      </c>
      <c r="N117" s="396">
        <f t="shared" si="8"/>
        <v>0</v>
      </c>
      <c r="O117" s="397">
        <f t="shared" si="10"/>
        <v>1</v>
      </c>
      <c r="P117" s="398">
        <f t="shared" si="11"/>
        <v>1150000</v>
      </c>
      <c r="Q117" s="398"/>
      <c r="R117" s="398"/>
      <c r="S117" s="427">
        <v>1150000</v>
      </c>
      <c r="T117" s="400" t="s">
        <v>1620</v>
      </c>
    </row>
    <row r="118" spans="1:20" ht="67.5">
      <c r="A118" s="388"/>
      <c r="B118" s="425" t="s">
        <v>684</v>
      </c>
      <c r="C118" s="390">
        <f t="shared" si="7"/>
        <v>104</v>
      </c>
      <c r="D118" s="391" t="s">
        <v>624</v>
      </c>
      <c r="E118" s="383"/>
      <c r="F118" s="405"/>
      <c r="G118" s="407"/>
      <c r="H118" s="409">
        <v>45933</v>
      </c>
      <c r="I118" s="383">
        <v>2</v>
      </c>
      <c r="J118" s="383">
        <v>175000</v>
      </c>
      <c r="K118" s="426">
        <f t="shared" si="9"/>
        <v>350000</v>
      </c>
      <c r="L118" s="383">
        <v>0</v>
      </c>
      <c r="M118" s="383">
        <v>0</v>
      </c>
      <c r="N118" s="396">
        <f t="shared" si="8"/>
        <v>0</v>
      </c>
      <c r="O118" s="397">
        <f t="shared" si="10"/>
        <v>2</v>
      </c>
      <c r="P118" s="398">
        <f t="shared" si="11"/>
        <v>350000</v>
      </c>
      <c r="Q118" s="398"/>
      <c r="R118" s="398"/>
      <c r="S118" s="427">
        <v>350000</v>
      </c>
      <c r="T118" s="400" t="s">
        <v>1621</v>
      </c>
    </row>
    <row r="119" spans="1:20" ht="56.25">
      <c r="A119" s="388"/>
      <c r="B119" s="425" t="s">
        <v>685</v>
      </c>
      <c r="C119" s="390">
        <f t="shared" si="7"/>
        <v>105</v>
      </c>
      <c r="D119" s="391" t="s">
        <v>625</v>
      </c>
      <c r="E119" s="383"/>
      <c r="F119" s="405"/>
      <c r="G119" s="407"/>
      <c r="H119" s="409">
        <v>45989</v>
      </c>
      <c r="I119" s="383">
        <v>1</v>
      </c>
      <c r="J119" s="383">
        <v>2150000</v>
      </c>
      <c r="K119" s="426">
        <f t="shared" si="9"/>
        <v>2150000</v>
      </c>
      <c r="L119" s="383">
        <v>0</v>
      </c>
      <c r="M119" s="383">
        <v>0</v>
      </c>
      <c r="N119" s="396">
        <f t="shared" si="8"/>
        <v>0</v>
      </c>
      <c r="O119" s="397">
        <f t="shared" si="10"/>
        <v>1</v>
      </c>
      <c r="P119" s="398">
        <f t="shared" si="11"/>
        <v>2150000</v>
      </c>
      <c r="Q119" s="398"/>
      <c r="R119" s="398"/>
      <c r="S119" s="427">
        <v>2150000</v>
      </c>
      <c r="T119" s="400" t="s">
        <v>1622</v>
      </c>
    </row>
    <row r="120" spans="1:20" ht="56.25">
      <c r="A120" s="388"/>
      <c r="B120" s="425" t="s">
        <v>686</v>
      </c>
      <c r="C120" s="390">
        <f t="shared" si="7"/>
        <v>106</v>
      </c>
      <c r="D120" s="391" t="s">
        <v>626</v>
      </c>
      <c r="E120" s="383"/>
      <c r="F120" s="405"/>
      <c r="G120" s="407"/>
      <c r="H120" s="409">
        <v>45989</v>
      </c>
      <c r="I120" s="383">
        <v>1</v>
      </c>
      <c r="J120" s="383">
        <v>900000</v>
      </c>
      <c r="K120" s="426">
        <f t="shared" si="9"/>
        <v>900000</v>
      </c>
      <c r="L120" s="383">
        <v>0</v>
      </c>
      <c r="M120" s="383">
        <v>0</v>
      </c>
      <c r="N120" s="396">
        <f t="shared" si="8"/>
        <v>0</v>
      </c>
      <c r="O120" s="397">
        <f t="shared" si="10"/>
        <v>1</v>
      </c>
      <c r="P120" s="398">
        <f t="shared" si="11"/>
        <v>900000</v>
      </c>
      <c r="Q120" s="398"/>
      <c r="R120" s="398"/>
      <c r="S120" s="427">
        <v>900000</v>
      </c>
      <c r="T120" s="400" t="s">
        <v>1623</v>
      </c>
    </row>
    <row r="121" spans="1:20" ht="56.25">
      <c r="A121" s="388"/>
      <c r="B121" s="425" t="s">
        <v>687</v>
      </c>
      <c r="C121" s="390">
        <f t="shared" si="7"/>
        <v>107</v>
      </c>
      <c r="D121" s="391" t="s">
        <v>627</v>
      </c>
      <c r="E121" s="383"/>
      <c r="F121" s="405"/>
      <c r="G121" s="407"/>
      <c r="H121" s="409">
        <v>45989</v>
      </c>
      <c r="I121" s="383">
        <v>1</v>
      </c>
      <c r="J121" s="383">
        <v>4500000</v>
      </c>
      <c r="K121" s="426">
        <f t="shared" si="9"/>
        <v>4500000</v>
      </c>
      <c r="L121" s="383">
        <v>0</v>
      </c>
      <c r="M121" s="383">
        <v>0</v>
      </c>
      <c r="N121" s="396">
        <f t="shared" si="8"/>
        <v>0</v>
      </c>
      <c r="O121" s="397">
        <f t="shared" si="10"/>
        <v>1</v>
      </c>
      <c r="P121" s="398">
        <f t="shared" si="11"/>
        <v>4500000</v>
      </c>
      <c r="Q121" s="398"/>
      <c r="R121" s="398"/>
      <c r="S121" s="427">
        <v>4500000</v>
      </c>
      <c r="T121" s="400" t="s">
        <v>1624</v>
      </c>
    </row>
    <row r="122" spans="1:20" ht="56.25">
      <c r="A122" s="388"/>
      <c r="B122" s="425" t="s">
        <v>688</v>
      </c>
      <c r="C122" s="390">
        <f t="shared" si="7"/>
        <v>108</v>
      </c>
      <c r="D122" s="428" t="s">
        <v>628</v>
      </c>
      <c r="E122" s="383"/>
      <c r="F122" s="405"/>
      <c r="G122" s="407"/>
      <c r="H122" s="409">
        <v>45989</v>
      </c>
      <c r="I122" s="383">
        <v>1</v>
      </c>
      <c r="J122" s="383">
        <v>500000</v>
      </c>
      <c r="K122" s="426">
        <f t="shared" si="9"/>
        <v>500000</v>
      </c>
      <c r="L122" s="383">
        <v>0</v>
      </c>
      <c r="M122" s="383">
        <v>0</v>
      </c>
      <c r="N122" s="396">
        <f t="shared" si="8"/>
        <v>0</v>
      </c>
      <c r="O122" s="397">
        <f t="shared" si="10"/>
        <v>1</v>
      </c>
      <c r="P122" s="398">
        <f t="shared" si="11"/>
        <v>500000</v>
      </c>
      <c r="Q122" s="398"/>
      <c r="R122" s="398"/>
      <c r="S122" s="427">
        <v>500000</v>
      </c>
      <c r="T122" s="400" t="s">
        <v>1624</v>
      </c>
    </row>
    <row r="123" spans="1:20" ht="67.5">
      <c r="A123" s="388"/>
      <c r="B123" s="425" t="s">
        <v>689</v>
      </c>
      <c r="C123" s="390">
        <f t="shared" si="7"/>
        <v>109</v>
      </c>
      <c r="D123" s="391" t="s">
        <v>629</v>
      </c>
      <c r="E123" s="383"/>
      <c r="F123" s="405"/>
      <c r="G123" s="407"/>
      <c r="H123" s="409">
        <v>46013</v>
      </c>
      <c r="I123" s="383">
        <v>1</v>
      </c>
      <c r="J123" s="383">
        <v>270000</v>
      </c>
      <c r="K123" s="426">
        <f t="shared" si="9"/>
        <v>270000</v>
      </c>
      <c r="L123" s="383">
        <v>0</v>
      </c>
      <c r="M123" s="383">
        <v>0</v>
      </c>
      <c r="N123" s="396">
        <f t="shared" si="8"/>
        <v>0</v>
      </c>
      <c r="O123" s="397">
        <f t="shared" si="10"/>
        <v>1</v>
      </c>
      <c r="P123" s="398">
        <f t="shared" si="11"/>
        <v>270000</v>
      </c>
      <c r="Q123" s="398"/>
      <c r="R123" s="398"/>
      <c r="S123" s="427">
        <v>270000</v>
      </c>
      <c r="T123" s="400" t="s">
        <v>1625</v>
      </c>
    </row>
    <row r="124" spans="1:20">
      <c r="A124" s="388"/>
      <c r="B124" s="425" t="s">
        <v>632</v>
      </c>
      <c r="C124" s="390">
        <f t="shared" si="7"/>
        <v>110</v>
      </c>
      <c r="D124" s="391" t="s">
        <v>576</v>
      </c>
      <c r="E124" s="383"/>
      <c r="F124" s="405"/>
      <c r="G124" s="407"/>
      <c r="H124" s="409">
        <v>46020</v>
      </c>
      <c r="I124" s="383">
        <v>30</v>
      </c>
      <c r="J124" s="383">
        <v>570000</v>
      </c>
      <c r="K124" s="426">
        <f t="shared" si="9"/>
        <v>17100000</v>
      </c>
      <c r="L124" s="383">
        <v>0</v>
      </c>
      <c r="M124" s="383">
        <v>0</v>
      </c>
      <c r="N124" s="396">
        <f t="shared" si="8"/>
        <v>0</v>
      </c>
      <c r="O124" s="397">
        <f t="shared" si="10"/>
        <v>30</v>
      </c>
      <c r="P124" s="398">
        <f t="shared" si="11"/>
        <v>17100000</v>
      </c>
      <c r="Q124" s="398">
        <f>P124</f>
        <v>17100000</v>
      </c>
      <c r="R124" s="398"/>
      <c r="S124" s="399"/>
      <c r="T124" s="400" t="s">
        <v>874</v>
      </c>
    </row>
    <row r="125" spans="1:20" ht="22.5">
      <c r="A125" s="388"/>
      <c r="B125" s="425" t="s">
        <v>690</v>
      </c>
      <c r="C125" s="390">
        <f t="shared" si="7"/>
        <v>111</v>
      </c>
      <c r="D125" s="391" t="s">
        <v>630</v>
      </c>
      <c r="E125" s="383"/>
      <c r="F125" s="405"/>
      <c r="G125" s="407"/>
      <c r="H125" s="409">
        <v>46020</v>
      </c>
      <c r="I125" s="383">
        <v>1</v>
      </c>
      <c r="J125" s="383">
        <v>4000000</v>
      </c>
      <c r="K125" s="426">
        <f t="shared" si="9"/>
        <v>4000000</v>
      </c>
      <c r="L125" s="383">
        <v>0</v>
      </c>
      <c r="M125" s="383">
        <v>0</v>
      </c>
      <c r="N125" s="396">
        <f t="shared" si="8"/>
        <v>0</v>
      </c>
      <c r="O125" s="397">
        <f t="shared" si="10"/>
        <v>1</v>
      </c>
      <c r="P125" s="398">
        <f t="shared" si="11"/>
        <v>4000000</v>
      </c>
      <c r="Q125" s="398">
        <f>P125</f>
        <v>4000000</v>
      </c>
      <c r="R125" s="398"/>
      <c r="S125" s="399"/>
      <c r="T125" s="400" t="s">
        <v>875</v>
      </c>
    </row>
    <row r="126" spans="1:20">
      <c r="A126" s="388"/>
      <c r="B126" s="425" t="s">
        <v>691</v>
      </c>
      <c r="C126" s="390">
        <f t="shared" si="7"/>
        <v>112</v>
      </c>
      <c r="D126" s="391" t="s">
        <v>631</v>
      </c>
      <c r="E126" s="383"/>
      <c r="F126" s="405"/>
      <c r="G126" s="407"/>
      <c r="H126" s="409">
        <v>46020</v>
      </c>
      <c r="I126" s="383">
        <v>1</v>
      </c>
      <c r="J126" s="383">
        <v>2500000</v>
      </c>
      <c r="K126" s="426">
        <f t="shared" si="9"/>
        <v>2500000</v>
      </c>
      <c r="L126" s="383">
        <v>0</v>
      </c>
      <c r="M126" s="383">
        <v>0</v>
      </c>
      <c r="N126" s="396">
        <f t="shared" si="8"/>
        <v>0</v>
      </c>
      <c r="O126" s="397">
        <f t="shared" si="10"/>
        <v>1</v>
      </c>
      <c r="P126" s="398">
        <f t="shared" si="11"/>
        <v>2500000</v>
      </c>
      <c r="Q126" s="398">
        <f>P126</f>
        <v>2500000</v>
      </c>
      <c r="R126" s="398"/>
      <c r="S126" s="399"/>
      <c r="T126" s="400" t="s">
        <v>876</v>
      </c>
    </row>
    <row r="127" spans="1:20" ht="13.7" customHeight="1">
      <c r="A127" s="369"/>
      <c r="B127" s="369"/>
      <c r="C127" s="361"/>
      <c r="D127" s="362"/>
      <c r="E127" s="429"/>
      <c r="F127" s="368"/>
      <c r="G127" s="367"/>
      <c r="H127" s="359"/>
      <c r="I127" s="429"/>
      <c r="J127" s="429"/>
      <c r="K127" s="430"/>
      <c r="L127" s="429"/>
      <c r="M127" s="429"/>
      <c r="N127" s="396"/>
      <c r="O127" s="397"/>
      <c r="P127" s="398"/>
      <c r="Q127" s="431"/>
      <c r="R127" s="431"/>
      <c r="S127" s="366"/>
      <c r="T127" s="367"/>
    </row>
    <row r="128" spans="1:20" s="349" customFormat="1" ht="13.7" customHeight="1">
      <c r="A128" s="370">
        <v>3</v>
      </c>
      <c r="B128" s="371"/>
      <c r="C128" s="372" t="s">
        <v>209</v>
      </c>
      <c r="D128" s="373"/>
      <c r="E128" s="432"/>
      <c r="F128" s="433"/>
      <c r="G128" s="434">
        <f>SUM(G129:G159)</f>
        <v>3957949100</v>
      </c>
      <c r="H128" s="370"/>
      <c r="I128" s="376">
        <f>SUM(I129:I159)</f>
        <v>3</v>
      </c>
      <c r="J128" s="376"/>
      <c r="K128" s="435">
        <f>SUM(K129:K159)</f>
        <v>717366500</v>
      </c>
      <c r="L128" s="376">
        <f>SUM(L129:L159)</f>
        <v>0</v>
      </c>
      <c r="M128" s="376"/>
      <c r="N128" s="376">
        <f t="shared" ref="N128:S128" si="13">SUM(N129:N159)</f>
        <v>0</v>
      </c>
      <c r="O128" s="376">
        <f t="shared" si="13"/>
        <v>58</v>
      </c>
      <c r="P128" s="375">
        <f t="shared" si="13"/>
        <v>4675315600</v>
      </c>
      <c r="Q128" s="375">
        <f t="shared" si="13"/>
        <v>406948000</v>
      </c>
      <c r="R128" s="375">
        <f t="shared" si="13"/>
        <v>0</v>
      </c>
      <c r="S128" s="375">
        <f t="shared" si="13"/>
        <v>310418500</v>
      </c>
      <c r="T128" s="377"/>
    </row>
    <row r="129" spans="1:20" ht="56.25">
      <c r="A129" s="350"/>
      <c r="B129" s="378" t="s">
        <v>737</v>
      </c>
      <c r="C129" s="352">
        <v>1</v>
      </c>
      <c r="D129" s="379" t="s">
        <v>727</v>
      </c>
      <c r="E129" s="404">
        <v>1</v>
      </c>
      <c r="F129" s="436">
        <v>450000000</v>
      </c>
      <c r="G129" s="437">
        <f t="shared" ref="G129:G155" si="14">E129*F129</f>
        <v>450000000</v>
      </c>
      <c r="H129" s="395">
        <v>1916</v>
      </c>
      <c r="I129" s="383"/>
      <c r="J129" s="383">
        <v>102212000</v>
      </c>
      <c r="K129" s="396">
        <v>102212000</v>
      </c>
      <c r="L129" s="383">
        <v>0</v>
      </c>
      <c r="M129" s="383">
        <v>0</v>
      </c>
      <c r="N129" s="396">
        <f t="shared" ref="N129:N156" si="15">L129*M129</f>
        <v>0</v>
      </c>
      <c r="O129" s="397">
        <f t="shared" ref="O129:O130" si="16">E129+I129-L129</f>
        <v>1</v>
      </c>
      <c r="P129" s="398">
        <f t="shared" ref="P129:P156" si="17">G129+K129-N129</f>
        <v>552212000</v>
      </c>
      <c r="Q129" s="386">
        <v>102212000</v>
      </c>
      <c r="R129" s="386"/>
      <c r="S129" s="357"/>
      <c r="T129" s="387" t="s">
        <v>1626</v>
      </c>
    </row>
    <row r="130" spans="1:20" ht="33.75">
      <c r="A130" s="388"/>
      <c r="B130" s="389" t="s">
        <v>738</v>
      </c>
      <c r="C130" s="390">
        <f>C129+1</f>
        <v>2</v>
      </c>
      <c r="D130" s="391" t="s">
        <v>728</v>
      </c>
      <c r="E130" s="404">
        <v>1</v>
      </c>
      <c r="F130" s="436">
        <v>85194650</v>
      </c>
      <c r="G130" s="438">
        <f t="shared" si="14"/>
        <v>85194650</v>
      </c>
      <c r="H130" s="395">
        <v>2009</v>
      </c>
      <c r="I130" s="383">
        <v>0</v>
      </c>
      <c r="J130" s="439">
        <v>0</v>
      </c>
      <c r="K130" s="396">
        <f t="shared" ref="K130:K156" si="18">I130*J130</f>
        <v>0</v>
      </c>
      <c r="L130" s="383">
        <v>0</v>
      </c>
      <c r="M130" s="383">
        <v>0</v>
      </c>
      <c r="N130" s="396">
        <f t="shared" si="15"/>
        <v>0</v>
      </c>
      <c r="O130" s="440">
        <f t="shared" si="16"/>
        <v>1</v>
      </c>
      <c r="P130" s="398">
        <f t="shared" si="17"/>
        <v>85194650</v>
      </c>
      <c r="Q130" s="398"/>
      <c r="R130" s="398"/>
      <c r="S130" s="399"/>
      <c r="T130" s="400" t="s">
        <v>753</v>
      </c>
    </row>
    <row r="131" spans="1:20" ht="45">
      <c r="A131" s="388"/>
      <c r="B131" s="389" t="s">
        <v>739</v>
      </c>
      <c r="C131" s="390">
        <f t="shared" ref="C131:C156" si="19">C130+1</f>
        <v>3</v>
      </c>
      <c r="D131" s="391" t="s">
        <v>729</v>
      </c>
      <c r="E131" s="404">
        <v>3</v>
      </c>
      <c r="F131" s="441">
        <f>45000000/3</f>
        <v>15000000</v>
      </c>
      <c r="G131" s="438">
        <f t="shared" si="14"/>
        <v>45000000</v>
      </c>
      <c r="H131" s="395">
        <v>2010</v>
      </c>
      <c r="I131" s="383">
        <v>0</v>
      </c>
      <c r="J131" s="439">
        <v>0</v>
      </c>
      <c r="K131" s="402">
        <f t="shared" si="18"/>
        <v>0</v>
      </c>
      <c r="L131" s="383">
        <v>0</v>
      </c>
      <c r="M131" s="383">
        <v>0</v>
      </c>
      <c r="N131" s="396">
        <f t="shared" si="15"/>
        <v>0</v>
      </c>
      <c r="O131" s="397">
        <f>E131+I131-L131-E131</f>
        <v>0</v>
      </c>
      <c r="P131" s="398">
        <f t="shared" si="17"/>
        <v>45000000</v>
      </c>
      <c r="Q131" s="398"/>
      <c r="R131" s="398"/>
      <c r="S131" s="399"/>
      <c r="T131" s="400" t="s">
        <v>754</v>
      </c>
    </row>
    <row r="132" spans="1:20" ht="33.75">
      <c r="A132" s="388"/>
      <c r="B132" s="389" t="s">
        <v>739</v>
      </c>
      <c r="C132" s="390">
        <f t="shared" si="19"/>
        <v>4</v>
      </c>
      <c r="D132" s="391" t="s">
        <v>729</v>
      </c>
      <c r="E132" s="404">
        <v>9</v>
      </c>
      <c r="F132" s="436">
        <f>270000000/9</f>
        <v>30000000</v>
      </c>
      <c r="G132" s="438">
        <f t="shared" si="14"/>
        <v>270000000</v>
      </c>
      <c r="H132" s="395">
        <v>2010</v>
      </c>
      <c r="I132" s="383">
        <v>0</v>
      </c>
      <c r="J132" s="439">
        <v>0</v>
      </c>
      <c r="K132" s="396">
        <f t="shared" si="18"/>
        <v>0</v>
      </c>
      <c r="L132" s="383">
        <v>0</v>
      </c>
      <c r="M132" s="383">
        <v>0</v>
      </c>
      <c r="N132" s="396">
        <f t="shared" si="15"/>
        <v>0</v>
      </c>
      <c r="O132" s="397">
        <f t="shared" ref="O132:O156" si="20">E132+I132-L132</f>
        <v>9</v>
      </c>
      <c r="P132" s="398">
        <f t="shared" si="17"/>
        <v>270000000</v>
      </c>
      <c r="Q132" s="398"/>
      <c r="R132" s="398"/>
      <c r="S132" s="399"/>
      <c r="T132" s="400" t="s">
        <v>755</v>
      </c>
    </row>
    <row r="133" spans="1:20" ht="33.75">
      <c r="A133" s="388"/>
      <c r="B133" s="389" t="s">
        <v>738</v>
      </c>
      <c r="C133" s="390">
        <f t="shared" si="19"/>
        <v>5</v>
      </c>
      <c r="D133" s="391" t="s">
        <v>728</v>
      </c>
      <c r="E133" s="404">
        <v>1</v>
      </c>
      <c r="F133" s="436">
        <v>83209800</v>
      </c>
      <c r="G133" s="438">
        <f t="shared" si="14"/>
        <v>83209800</v>
      </c>
      <c r="H133" s="395">
        <v>2011</v>
      </c>
      <c r="I133" s="383">
        <v>0</v>
      </c>
      <c r="J133" s="383">
        <v>0</v>
      </c>
      <c r="K133" s="396">
        <f t="shared" si="18"/>
        <v>0</v>
      </c>
      <c r="L133" s="383">
        <v>0</v>
      </c>
      <c r="M133" s="383">
        <v>0</v>
      </c>
      <c r="N133" s="396">
        <f t="shared" si="15"/>
        <v>0</v>
      </c>
      <c r="O133" s="397">
        <f t="shared" si="20"/>
        <v>1</v>
      </c>
      <c r="P133" s="398">
        <f t="shared" si="17"/>
        <v>83209800</v>
      </c>
      <c r="Q133" s="398"/>
      <c r="R133" s="398"/>
      <c r="S133" s="399"/>
      <c r="T133" s="400" t="s">
        <v>756</v>
      </c>
    </row>
    <row r="134" spans="1:20" ht="22.5">
      <c r="A134" s="388"/>
      <c r="B134" s="389" t="s">
        <v>738</v>
      </c>
      <c r="C134" s="390">
        <f t="shared" si="19"/>
        <v>6</v>
      </c>
      <c r="D134" s="391" t="s">
        <v>728</v>
      </c>
      <c r="E134" s="404">
        <v>1</v>
      </c>
      <c r="F134" s="436">
        <v>63000000</v>
      </c>
      <c r="G134" s="438">
        <f t="shared" si="14"/>
        <v>63000000</v>
      </c>
      <c r="H134" s="395">
        <v>2011</v>
      </c>
      <c r="I134" s="383">
        <v>0</v>
      </c>
      <c r="J134" s="383">
        <v>0</v>
      </c>
      <c r="K134" s="396">
        <f t="shared" si="18"/>
        <v>0</v>
      </c>
      <c r="L134" s="383">
        <v>0</v>
      </c>
      <c r="M134" s="383">
        <v>0</v>
      </c>
      <c r="N134" s="396">
        <f t="shared" si="15"/>
        <v>0</v>
      </c>
      <c r="O134" s="397">
        <f t="shared" si="20"/>
        <v>1</v>
      </c>
      <c r="P134" s="398">
        <f t="shared" si="17"/>
        <v>63000000</v>
      </c>
      <c r="Q134" s="398"/>
      <c r="R134" s="398"/>
      <c r="S134" s="399"/>
      <c r="T134" s="400" t="s">
        <v>757</v>
      </c>
    </row>
    <row r="135" spans="1:20" ht="22.5">
      <c r="A135" s="388"/>
      <c r="B135" s="389" t="s">
        <v>738</v>
      </c>
      <c r="C135" s="390">
        <f t="shared" si="19"/>
        <v>7</v>
      </c>
      <c r="D135" s="391" t="s">
        <v>728</v>
      </c>
      <c r="E135" s="404">
        <v>1</v>
      </c>
      <c r="F135" s="436">
        <v>83209800</v>
      </c>
      <c r="G135" s="438">
        <f t="shared" si="14"/>
        <v>83209800</v>
      </c>
      <c r="H135" s="395">
        <v>2011</v>
      </c>
      <c r="I135" s="383">
        <v>0</v>
      </c>
      <c r="J135" s="383">
        <v>0</v>
      </c>
      <c r="K135" s="396">
        <f t="shared" si="18"/>
        <v>0</v>
      </c>
      <c r="L135" s="383">
        <v>0</v>
      </c>
      <c r="M135" s="383">
        <v>0</v>
      </c>
      <c r="N135" s="396">
        <f t="shared" si="15"/>
        <v>0</v>
      </c>
      <c r="O135" s="397">
        <f t="shared" si="20"/>
        <v>1</v>
      </c>
      <c r="P135" s="398">
        <f t="shared" si="17"/>
        <v>83209800</v>
      </c>
      <c r="Q135" s="398"/>
      <c r="R135" s="398"/>
      <c r="S135" s="399"/>
      <c r="T135" s="400" t="s">
        <v>758</v>
      </c>
    </row>
    <row r="136" spans="1:20" ht="22.5">
      <c r="A136" s="388"/>
      <c r="B136" s="389" t="s">
        <v>738</v>
      </c>
      <c r="C136" s="390">
        <f t="shared" si="19"/>
        <v>8</v>
      </c>
      <c r="D136" s="391" t="s">
        <v>728</v>
      </c>
      <c r="E136" s="404">
        <v>1</v>
      </c>
      <c r="F136" s="436">
        <v>83464200</v>
      </c>
      <c r="G136" s="438">
        <f t="shared" si="14"/>
        <v>83464200</v>
      </c>
      <c r="H136" s="395">
        <v>2012</v>
      </c>
      <c r="I136" s="383">
        <v>0</v>
      </c>
      <c r="J136" s="383">
        <v>0</v>
      </c>
      <c r="K136" s="396">
        <f t="shared" si="18"/>
        <v>0</v>
      </c>
      <c r="L136" s="383">
        <v>0</v>
      </c>
      <c r="M136" s="383">
        <v>0</v>
      </c>
      <c r="N136" s="396">
        <f t="shared" si="15"/>
        <v>0</v>
      </c>
      <c r="O136" s="397">
        <f t="shared" si="20"/>
        <v>1</v>
      </c>
      <c r="P136" s="398">
        <f t="shared" si="17"/>
        <v>83464200</v>
      </c>
      <c r="Q136" s="398"/>
      <c r="R136" s="398"/>
      <c r="S136" s="399"/>
      <c r="T136" s="400" t="s">
        <v>759</v>
      </c>
    </row>
    <row r="137" spans="1:20" ht="33.75">
      <c r="A137" s="388"/>
      <c r="B137" s="389" t="s">
        <v>738</v>
      </c>
      <c r="C137" s="390">
        <f t="shared" si="19"/>
        <v>9</v>
      </c>
      <c r="D137" s="391" t="s">
        <v>728</v>
      </c>
      <c r="E137" s="404">
        <v>1</v>
      </c>
      <c r="F137" s="436">
        <v>85504400</v>
      </c>
      <c r="G137" s="438">
        <f t="shared" si="14"/>
        <v>85504400</v>
      </c>
      <c r="H137" s="395">
        <v>2012</v>
      </c>
      <c r="I137" s="383">
        <v>0</v>
      </c>
      <c r="J137" s="383">
        <v>0</v>
      </c>
      <c r="K137" s="396">
        <f t="shared" si="18"/>
        <v>0</v>
      </c>
      <c r="L137" s="383">
        <v>0</v>
      </c>
      <c r="M137" s="383">
        <v>0</v>
      </c>
      <c r="N137" s="396">
        <f t="shared" si="15"/>
        <v>0</v>
      </c>
      <c r="O137" s="397">
        <f t="shared" si="20"/>
        <v>1</v>
      </c>
      <c r="P137" s="398">
        <f t="shared" si="17"/>
        <v>85504400</v>
      </c>
      <c r="Q137" s="398"/>
      <c r="R137" s="398"/>
      <c r="S137" s="399"/>
      <c r="T137" s="400" t="s">
        <v>760</v>
      </c>
    </row>
    <row r="138" spans="1:20" ht="22.5">
      <c r="A138" s="388"/>
      <c r="B138" s="389" t="s">
        <v>738</v>
      </c>
      <c r="C138" s="390">
        <f t="shared" si="19"/>
        <v>10</v>
      </c>
      <c r="D138" s="391" t="s">
        <v>728</v>
      </c>
      <c r="E138" s="404">
        <v>1</v>
      </c>
      <c r="F138" s="436">
        <v>146392500</v>
      </c>
      <c r="G138" s="438">
        <f t="shared" si="14"/>
        <v>146392500</v>
      </c>
      <c r="H138" s="395">
        <v>2013</v>
      </c>
      <c r="I138" s="383">
        <v>0</v>
      </c>
      <c r="J138" s="383">
        <v>0</v>
      </c>
      <c r="K138" s="396">
        <f t="shared" si="18"/>
        <v>0</v>
      </c>
      <c r="L138" s="383">
        <v>0</v>
      </c>
      <c r="M138" s="383">
        <v>0</v>
      </c>
      <c r="N138" s="396">
        <f t="shared" si="15"/>
        <v>0</v>
      </c>
      <c r="O138" s="397">
        <f t="shared" si="20"/>
        <v>1</v>
      </c>
      <c r="P138" s="398">
        <f t="shared" si="17"/>
        <v>146392500</v>
      </c>
      <c r="Q138" s="398"/>
      <c r="R138" s="398"/>
      <c r="S138" s="399"/>
      <c r="T138" s="400" t="s">
        <v>761</v>
      </c>
    </row>
    <row r="139" spans="1:20" ht="33.75">
      <c r="A139" s="388"/>
      <c r="B139" s="389" t="s">
        <v>738</v>
      </c>
      <c r="C139" s="390">
        <f t="shared" si="19"/>
        <v>11</v>
      </c>
      <c r="D139" s="391" t="s">
        <v>728</v>
      </c>
      <c r="E139" s="404">
        <v>1</v>
      </c>
      <c r="F139" s="436">
        <v>109326200</v>
      </c>
      <c r="G139" s="438">
        <f t="shared" si="14"/>
        <v>109326200</v>
      </c>
      <c r="H139" s="395">
        <v>2014</v>
      </c>
      <c r="I139" s="383">
        <v>0</v>
      </c>
      <c r="J139" s="383">
        <v>0</v>
      </c>
      <c r="K139" s="396">
        <f t="shared" si="18"/>
        <v>0</v>
      </c>
      <c r="L139" s="383">
        <v>0</v>
      </c>
      <c r="M139" s="383">
        <v>0</v>
      </c>
      <c r="N139" s="396">
        <f t="shared" si="15"/>
        <v>0</v>
      </c>
      <c r="O139" s="397">
        <f t="shared" si="20"/>
        <v>1</v>
      </c>
      <c r="P139" s="398">
        <f t="shared" si="17"/>
        <v>109326200</v>
      </c>
      <c r="Q139" s="398"/>
      <c r="R139" s="398"/>
      <c r="S139" s="399"/>
      <c r="T139" s="400" t="s">
        <v>762</v>
      </c>
    </row>
    <row r="140" spans="1:20" ht="22.5">
      <c r="A140" s="388"/>
      <c r="B140" s="389" t="s">
        <v>738</v>
      </c>
      <c r="C140" s="390">
        <f t="shared" si="19"/>
        <v>12</v>
      </c>
      <c r="D140" s="391" t="s">
        <v>728</v>
      </c>
      <c r="E140" s="404">
        <v>1</v>
      </c>
      <c r="F140" s="436">
        <v>80982400</v>
      </c>
      <c r="G140" s="438">
        <f t="shared" si="14"/>
        <v>80982400</v>
      </c>
      <c r="H140" s="395">
        <v>2014</v>
      </c>
      <c r="I140" s="383">
        <v>0</v>
      </c>
      <c r="J140" s="383">
        <v>0</v>
      </c>
      <c r="K140" s="396">
        <f t="shared" si="18"/>
        <v>0</v>
      </c>
      <c r="L140" s="383">
        <v>0</v>
      </c>
      <c r="M140" s="383">
        <v>0</v>
      </c>
      <c r="N140" s="396">
        <f t="shared" si="15"/>
        <v>0</v>
      </c>
      <c r="O140" s="397">
        <f t="shared" si="20"/>
        <v>1</v>
      </c>
      <c r="P140" s="398">
        <f t="shared" si="17"/>
        <v>80982400</v>
      </c>
      <c r="Q140" s="398"/>
      <c r="R140" s="398"/>
      <c r="S140" s="399"/>
      <c r="T140" s="400" t="s">
        <v>763</v>
      </c>
    </row>
    <row r="141" spans="1:20" ht="56.25">
      <c r="A141" s="388"/>
      <c r="B141" s="442" t="s">
        <v>739</v>
      </c>
      <c r="C141" s="390">
        <f t="shared" si="19"/>
        <v>13</v>
      </c>
      <c r="D141" s="391" t="s">
        <v>729</v>
      </c>
      <c r="E141" s="404">
        <v>6</v>
      </c>
      <c r="F141" s="436">
        <f>568326511/6</f>
        <v>94721085.166666672</v>
      </c>
      <c r="G141" s="438">
        <f t="shared" si="14"/>
        <v>568326511</v>
      </c>
      <c r="H141" s="395" t="s">
        <v>747</v>
      </c>
      <c r="I141" s="383">
        <v>0</v>
      </c>
      <c r="J141" s="383">
        <v>0</v>
      </c>
      <c r="K141" s="396">
        <f t="shared" si="18"/>
        <v>0</v>
      </c>
      <c r="L141" s="383">
        <v>0</v>
      </c>
      <c r="M141" s="383">
        <v>0</v>
      </c>
      <c r="N141" s="396">
        <f t="shared" si="15"/>
        <v>0</v>
      </c>
      <c r="O141" s="397">
        <f t="shared" si="20"/>
        <v>6</v>
      </c>
      <c r="P141" s="398">
        <f t="shared" si="17"/>
        <v>568326511</v>
      </c>
      <c r="Q141" s="398"/>
      <c r="R141" s="398"/>
      <c r="S141" s="399"/>
      <c r="T141" s="400" t="s">
        <v>764</v>
      </c>
    </row>
    <row r="142" spans="1:20" ht="67.5">
      <c r="A142" s="388"/>
      <c r="B142" s="442" t="s">
        <v>739</v>
      </c>
      <c r="C142" s="390">
        <f t="shared" si="19"/>
        <v>14</v>
      </c>
      <c r="D142" s="391" t="s">
        <v>729</v>
      </c>
      <c r="E142" s="404">
        <v>5</v>
      </c>
      <c r="F142" s="436">
        <f>278960600/5</f>
        <v>55792120</v>
      </c>
      <c r="G142" s="438">
        <f t="shared" si="14"/>
        <v>278960600</v>
      </c>
      <c r="H142" s="395" t="s">
        <v>747</v>
      </c>
      <c r="I142" s="383">
        <v>0</v>
      </c>
      <c r="J142" s="383">
        <v>0</v>
      </c>
      <c r="K142" s="396">
        <f t="shared" si="18"/>
        <v>0</v>
      </c>
      <c r="L142" s="383">
        <v>0</v>
      </c>
      <c r="M142" s="383">
        <v>0</v>
      </c>
      <c r="N142" s="396">
        <f t="shared" si="15"/>
        <v>0</v>
      </c>
      <c r="O142" s="397">
        <f t="shared" si="20"/>
        <v>5</v>
      </c>
      <c r="P142" s="398">
        <f t="shared" si="17"/>
        <v>278960600</v>
      </c>
      <c r="Q142" s="398"/>
      <c r="R142" s="398"/>
      <c r="S142" s="399"/>
      <c r="T142" s="400" t="s">
        <v>765</v>
      </c>
    </row>
    <row r="143" spans="1:20" ht="45">
      <c r="A143" s="388"/>
      <c r="B143" s="389" t="s">
        <v>739</v>
      </c>
      <c r="C143" s="390">
        <f t="shared" si="19"/>
        <v>15</v>
      </c>
      <c r="D143" s="391" t="s">
        <v>729</v>
      </c>
      <c r="E143" s="404">
        <v>3</v>
      </c>
      <c r="F143" s="436">
        <f>167376361/3</f>
        <v>55792120.333333336</v>
      </c>
      <c r="G143" s="438">
        <f t="shared" si="14"/>
        <v>167376361</v>
      </c>
      <c r="H143" s="395" t="s">
        <v>747</v>
      </c>
      <c r="I143" s="383">
        <v>0</v>
      </c>
      <c r="J143" s="383">
        <v>0</v>
      </c>
      <c r="K143" s="396">
        <f t="shared" si="18"/>
        <v>0</v>
      </c>
      <c r="L143" s="383">
        <v>0</v>
      </c>
      <c r="M143" s="383">
        <v>0</v>
      </c>
      <c r="N143" s="396">
        <f t="shared" si="15"/>
        <v>0</v>
      </c>
      <c r="O143" s="397">
        <f t="shared" si="20"/>
        <v>3</v>
      </c>
      <c r="P143" s="398">
        <f t="shared" si="17"/>
        <v>167376361</v>
      </c>
      <c r="Q143" s="398"/>
      <c r="R143" s="398"/>
      <c r="S143" s="399"/>
      <c r="T143" s="400" t="s">
        <v>766</v>
      </c>
    </row>
    <row r="144" spans="1:20" ht="56.25">
      <c r="A144" s="388"/>
      <c r="B144" s="442" t="s">
        <v>739</v>
      </c>
      <c r="C144" s="390">
        <f t="shared" si="19"/>
        <v>16</v>
      </c>
      <c r="D144" s="391" t="s">
        <v>729</v>
      </c>
      <c r="E144" s="404">
        <v>6</v>
      </c>
      <c r="F144" s="436">
        <f>239876898/6</f>
        <v>39979483</v>
      </c>
      <c r="G144" s="438">
        <f t="shared" si="14"/>
        <v>239876898</v>
      </c>
      <c r="H144" s="395" t="s">
        <v>696</v>
      </c>
      <c r="I144" s="383">
        <v>0</v>
      </c>
      <c r="J144" s="383">
        <v>0</v>
      </c>
      <c r="K144" s="396">
        <f t="shared" si="18"/>
        <v>0</v>
      </c>
      <c r="L144" s="383">
        <v>0</v>
      </c>
      <c r="M144" s="383">
        <v>0</v>
      </c>
      <c r="N144" s="396">
        <f t="shared" si="15"/>
        <v>0</v>
      </c>
      <c r="O144" s="397">
        <f t="shared" si="20"/>
        <v>6</v>
      </c>
      <c r="P144" s="398">
        <f t="shared" si="17"/>
        <v>239876898</v>
      </c>
      <c r="Q144" s="398"/>
      <c r="R144" s="398"/>
      <c r="S144" s="399"/>
      <c r="T144" s="400" t="s">
        <v>767</v>
      </c>
    </row>
    <row r="145" spans="1:20" ht="45">
      <c r="A145" s="388"/>
      <c r="B145" s="442" t="s">
        <v>739</v>
      </c>
      <c r="C145" s="390">
        <f t="shared" si="19"/>
        <v>17</v>
      </c>
      <c r="D145" s="391" t="s">
        <v>729</v>
      </c>
      <c r="E145" s="404">
        <v>6</v>
      </c>
      <c r="F145" s="436">
        <f>359461280/6</f>
        <v>59910213.333333336</v>
      </c>
      <c r="G145" s="438">
        <f t="shared" si="14"/>
        <v>359461280</v>
      </c>
      <c r="H145" s="409">
        <v>42986</v>
      </c>
      <c r="I145" s="383">
        <v>0</v>
      </c>
      <c r="J145" s="383">
        <v>0</v>
      </c>
      <c r="K145" s="396">
        <f t="shared" si="18"/>
        <v>0</v>
      </c>
      <c r="L145" s="383">
        <v>0</v>
      </c>
      <c r="M145" s="383">
        <v>0</v>
      </c>
      <c r="N145" s="396">
        <f t="shared" si="15"/>
        <v>0</v>
      </c>
      <c r="O145" s="397">
        <f t="shared" si="20"/>
        <v>6</v>
      </c>
      <c r="P145" s="398">
        <f t="shared" si="17"/>
        <v>359461280</v>
      </c>
      <c r="Q145" s="398"/>
      <c r="R145" s="398"/>
      <c r="S145" s="399"/>
      <c r="T145" s="400" t="s">
        <v>768</v>
      </c>
    </row>
    <row r="146" spans="1:20" ht="45">
      <c r="A146" s="388"/>
      <c r="B146" s="442" t="s">
        <v>740</v>
      </c>
      <c r="C146" s="390">
        <f t="shared" si="19"/>
        <v>18</v>
      </c>
      <c r="D146" s="391" t="s">
        <v>730</v>
      </c>
      <c r="E146" s="404">
        <v>1</v>
      </c>
      <c r="F146" s="436">
        <v>14297727</v>
      </c>
      <c r="G146" s="438">
        <f t="shared" si="14"/>
        <v>14297727</v>
      </c>
      <c r="H146" s="395" t="s">
        <v>748</v>
      </c>
      <c r="I146" s="383">
        <v>0</v>
      </c>
      <c r="J146" s="383">
        <v>0</v>
      </c>
      <c r="K146" s="396">
        <f t="shared" si="18"/>
        <v>0</v>
      </c>
      <c r="L146" s="383">
        <v>0</v>
      </c>
      <c r="M146" s="383">
        <v>0</v>
      </c>
      <c r="N146" s="396">
        <f t="shared" si="15"/>
        <v>0</v>
      </c>
      <c r="O146" s="397">
        <f t="shared" si="20"/>
        <v>1</v>
      </c>
      <c r="P146" s="398">
        <f t="shared" si="17"/>
        <v>14297727</v>
      </c>
      <c r="Q146" s="398"/>
      <c r="R146" s="398"/>
      <c r="S146" s="399"/>
      <c r="T146" s="400" t="s">
        <v>769</v>
      </c>
    </row>
    <row r="147" spans="1:20" ht="45">
      <c r="A147" s="388"/>
      <c r="B147" s="442" t="s">
        <v>740</v>
      </c>
      <c r="C147" s="390">
        <f t="shared" si="19"/>
        <v>19</v>
      </c>
      <c r="D147" s="391" t="s">
        <v>730</v>
      </c>
      <c r="E147" s="404">
        <v>1</v>
      </c>
      <c r="F147" s="436">
        <v>12051534</v>
      </c>
      <c r="G147" s="438">
        <f t="shared" si="14"/>
        <v>12051534</v>
      </c>
      <c r="H147" s="395" t="s">
        <v>748</v>
      </c>
      <c r="I147" s="383">
        <v>0</v>
      </c>
      <c r="J147" s="383">
        <v>0</v>
      </c>
      <c r="K147" s="396">
        <f t="shared" si="18"/>
        <v>0</v>
      </c>
      <c r="L147" s="383">
        <v>0</v>
      </c>
      <c r="M147" s="383">
        <v>0</v>
      </c>
      <c r="N147" s="396">
        <f t="shared" si="15"/>
        <v>0</v>
      </c>
      <c r="O147" s="397">
        <f t="shared" si="20"/>
        <v>1</v>
      </c>
      <c r="P147" s="398">
        <f t="shared" si="17"/>
        <v>12051534</v>
      </c>
      <c r="Q147" s="398"/>
      <c r="R147" s="398"/>
      <c r="S147" s="399"/>
      <c r="T147" s="400" t="s">
        <v>770</v>
      </c>
    </row>
    <row r="148" spans="1:20" ht="45">
      <c r="A148" s="388"/>
      <c r="B148" s="406" t="s">
        <v>740</v>
      </c>
      <c r="C148" s="390">
        <f t="shared" si="19"/>
        <v>20</v>
      </c>
      <c r="D148" s="391" t="s">
        <v>730</v>
      </c>
      <c r="E148" s="404">
        <v>1</v>
      </c>
      <c r="F148" s="436">
        <v>6616621</v>
      </c>
      <c r="G148" s="438">
        <f t="shared" si="14"/>
        <v>6616621</v>
      </c>
      <c r="H148" s="395" t="s">
        <v>748</v>
      </c>
      <c r="I148" s="383">
        <v>0</v>
      </c>
      <c r="J148" s="439">
        <v>0</v>
      </c>
      <c r="K148" s="402">
        <f t="shared" si="18"/>
        <v>0</v>
      </c>
      <c r="L148" s="383">
        <v>0</v>
      </c>
      <c r="M148" s="383">
        <v>0</v>
      </c>
      <c r="N148" s="396">
        <f t="shared" si="15"/>
        <v>0</v>
      </c>
      <c r="O148" s="397">
        <f t="shared" si="20"/>
        <v>1</v>
      </c>
      <c r="P148" s="398">
        <f t="shared" si="17"/>
        <v>6616621</v>
      </c>
      <c r="Q148" s="398"/>
      <c r="R148" s="398"/>
      <c r="S148" s="399"/>
      <c r="T148" s="400" t="s">
        <v>771</v>
      </c>
    </row>
    <row r="149" spans="1:20" ht="45">
      <c r="A149" s="388"/>
      <c r="B149" s="389" t="s">
        <v>740</v>
      </c>
      <c r="C149" s="390">
        <f t="shared" si="19"/>
        <v>21</v>
      </c>
      <c r="D149" s="391" t="s">
        <v>730</v>
      </c>
      <c r="E149" s="404">
        <v>1</v>
      </c>
      <c r="F149" s="436">
        <v>12113105</v>
      </c>
      <c r="G149" s="438">
        <f t="shared" si="14"/>
        <v>12113105</v>
      </c>
      <c r="H149" s="395" t="s">
        <v>748</v>
      </c>
      <c r="I149" s="383">
        <v>0</v>
      </c>
      <c r="J149" s="439">
        <v>0</v>
      </c>
      <c r="K149" s="408">
        <f t="shared" si="18"/>
        <v>0</v>
      </c>
      <c r="L149" s="383">
        <v>0</v>
      </c>
      <c r="M149" s="383">
        <v>0</v>
      </c>
      <c r="N149" s="426">
        <f t="shared" si="15"/>
        <v>0</v>
      </c>
      <c r="O149" s="399">
        <f t="shared" si="20"/>
        <v>1</v>
      </c>
      <c r="P149" s="398">
        <f t="shared" si="17"/>
        <v>12113105</v>
      </c>
      <c r="Q149" s="398"/>
      <c r="R149" s="398"/>
      <c r="S149" s="399"/>
      <c r="T149" s="400" t="s">
        <v>772</v>
      </c>
    </row>
    <row r="150" spans="1:20" ht="33.75">
      <c r="A150" s="388"/>
      <c r="B150" s="406" t="s">
        <v>740</v>
      </c>
      <c r="C150" s="390">
        <f t="shared" si="19"/>
        <v>22</v>
      </c>
      <c r="D150" s="391" t="s">
        <v>730</v>
      </c>
      <c r="E150" s="404">
        <v>1</v>
      </c>
      <c r="F150" s="441">
        <v>13161013</v>
      </c>
      <c r="G150" s="443">
        <f t="shared" si="14"/>
        <v>13161013</v>
      </c>
      <c r="H150" s="395" t="s">
        <v>748</v>
      </c>
      <c r="I150" s="383">
        <v>0</v>
      </c>
      <c r="J150" s="444">
        <v>0</v>
      </c>
      <c r="K150" s="408">
        <f t="shared" si="18"/>
        <v>0</v>
      </c>
      <c r="L150" s="383">
        <v>0</v>
      </c>
      <c r="M150" s="383">
        <v>0</v>
      </c>
      <c r="N150" s="426">
        <f t="shared" si="15"/>
        <v>0</v>
      </c>
      <c r="O150" s="399">
        <f t="shared" si="20"/>
        <v>1</v>
      </c>
      <c r="P150" s="398">
        <f t="shared" si="17"/>
        <v>13161013</v>
      </c>
      <c r="Q150" s="398"/>
      <c r="R150" s="398"/>
      <c r="S150" s="399"/>
      <c r="T150" s="400" t="s">
        <v>773</v>
      </c>
    </row>
    <row r="151" spans="1:20" ht="33.75">
      <c r="A151" s="388"/>
      <c r="B151" s="406" t="s">
        <v>741</v>
      </c>
      <c r="C151" s="390">
        <f t="shared" si="19"/>
        <v>23</v>
      </c>
      <c r="D151" s="391" t="s">
        <v>731</v>
      </c>
      <c r="E151" s="404">
        <v>1</v>
      </c>
      <c r="F151" s="436">
        <v>84586000</v>
      </c>
      <c r="G151" s="443">
        <f t="shared" si="14"/>
        <v>84586000</v>
      </c>
      <c r="H151" s="395" t="s">
        <v>749</v>
      </c>
      <c r="I151" s="383">
        <v>0</v>
      </c>
      <c r="J151" s="444">
        <v>0</v>
      </c>
      <c r="K151" s="408">
        <f t="shared" si="18"/>
        <v>0</v>
      </c>
      <c r="L151" s="383">
        <v>0</v>
      </c>
      <c r="M151" s="383">
        <v>0</v>
      </c>
      <c r="N151" s="426">
        <f t="shared" si="15"/>
        <v>0</v>
      </c>
      <c r="O151" s="399">
        <f t="shared" si="20"/>
        <v>1</v>
      </c>
      <c r="P151" s="398">
        <f t="shared" si="17"/>
        <v>84586000</v>
      </c>
      <c r="Q151" s="398"/>
      <c r="R151" s="398"/>
      <c r="S151" s="399"/>
      <c r="T151" s="400" t="s">
        <v>774</v>
      </c>
    </row>
    <row r="152" spans="1:20" ht="33.75">
      <c r="A152" s="388"/>
      <c r="B152" s="406" t="s">
        <v>742</v>
      </c>
      <c r="C152" s="390">
        <f t="shared" si="19"/>
        <v>24</v>
      </c>
      <c r="D152" s="391" t="s">
        <v>732</v>
      </c>
      <c r="E152" s="404">
        <v>1</v>
      </c>
      <c r="F152" s="436">
        <v>46228000</v>
      </c>
      <c r="G152" s="443">
        <f t="shared" si="14"/>
        <v>46228000</v>
      </c>
      <c r="H152" s="395" t="s">
        <v>750</v>
      </c>
      <c r="I152" s="383">
        <v>0</v>
      </c>
      <c r="J152" s="444">
        <v>0</v>
      </c>
      <c r="K152" s="408">
        <f t="shared" si="18"/>
        <v>0</v>
      </c>
      <c r="L152" s="383">
        <v>0</v>
      </c>
      <c r="M152" s="383">
        <v>0</v>
      </c>
      <c r="N152" s="426">
        <f t="shared" si="15"/>
        <v>0</v>
      </c>
      <c r="O152" s="399">
        <f t="shared" si="20"/>
        <v>1</v>
      </c>
      <c r="P152" s="398">
        <f t="shared" si="17"/>
        <v>46228000</v>
      </c>
      <c r="Q152" s="398"/>
      <c r="R152" s="398"/>
      <c r="S152" s="399"/>
      <c r="T152" s="400" t="s">
        <v>775</v>
      </c>
    </row>
    <row r="153" spans="1:20" ht="22.5">
      <c r="A153" s="388"/>
      <c r="B153" s="442" t="s">
        <v>743</v>
      </c>
      <c r="C153" s="390">
        <f t="shared" si="19"/>
        <v>25</v>
      </c>
      <c r="D153" s="391" t="s">
        <v>733</v>
      </c>
      <c r="E153" s="445">
        <v>1</v>
      </c>
      <c r="F153" s="436">
        <v>219736000</v>
      </c>
      <c r="G153" s="443">
        <f t="shared" si="14"/>
        <v>219736000</v>
      </c>
      <c r="H153" s="409">
        <v>44042</v>
      </c>
      <c r="I153" s="383">
        <v>0</v>
      </c>
      <c r="J153" s="444">
        <v>0</v>
      </c>
      <c r="K153" s="408">
        <f t="shared" si="18"/>
        <v>0</v>
      </c>
      <c r="L153" s="383">
        <v>0</v>
      </c>
      <c r="M153" s="383">
        <v>0</v>
      </c>
      <c r="N153" s="426">
        <f t="shared" si="15"/>
        <v>0</v>
      </c>
      <c r="O153" s="399">
        <f t="shared" si="20"/>
        <v>1</v>
      </c>
      <c r="P153" s="398">
        <f t="shared" si="17"/>
        <v>219736000</v>
      </c>
      <c r="Q153" s="398"/>
      <c r="R153" s="398"/>
      <c r="S153" s="399"/>
      <c r="T153" s="400" t="s">
        <v>776</v>
      </c>
    </row>
    <row r="154" spans="1:20" ht="33.75">
      <c r="A154" s="388"/>
      <c r="B154" s="442" t="s">
        <v>744</v>
      </c>
      <c r="C154" s="390">
        <f t="shared" si="19"/>
        <v>26</v>
      </c>
      <c r="D154" s="391" t="s">
        <v>734</v>
      </c>
      <c r="E154" s="445">
        <v>1</v>
      </c>
      <c r="F154" s="436">
        <v>63000000</v>
      </c>
      <c r="G154" s="443">
        <f t="shared" si="14"/>
        <v>63000000</v>
      </c>
      <c r="H154" s="395" t="s">
        <v>751</v>
      </c>
      <c r="I154" s="383">
        <v>0</v>
      </c>
      <c r="J154" s="444">
        <v>0</v>
      </c>
      <c r="K154" s="408">
        <f t="shared" si="18"/>
        <v>0</v>
      </c>
      <c r="L154" s="383">
        <v>0</v>
      </c>
      <c r="M154" s="383">
        <v>0</v>
      </c>
      <c r="N154" s="426">
        <f t="shared" si="15"/>
        <v>0</v>
      </c>
      <c r="O154" s="399">
        <f t="shared" si="20"/>
        <v>1</v>
      </c>
      <c r="P154" s="398">
        <f t="shared" si="17"/>
        <v>63000000</v>
      </c>
      <c r="Q154" s="398"/>
      <c r="R154" s="398"/>
      <c r="S154" s="399"/>
      <c r="T154" s="400" t="s">
        <v>413</v>
      </c>
    </row>
    <row r="155" spans="1:20" ht="33.75">
      <c r="A155" s="388"/>
      <c r="B155" s="389" t="s">
        <v>739</v>
      </c>
      <c r="C155" s="390">
        <f t="shared" si="19"/>
        <v>27</v>
      </c>
      <c r="D155" s="391" t="s">
        <v>729</v>
      </c>
      <c r="E155" s="404">
        <v>1</v>
      </c>
      <c r="F155" s="436">
        <v>286873500</v>
      </c>
      <c r="G155" s="443">
        <f t="shared" si="14"/>
        <v>286873500</v>
      </c>
      <c r="H155" s="409">
        <v>45289</v>
      </c>
      <c r="I155" s="446">
        <v>0</v>
      </c>
      <c r="J155" s="446">
        <v>0</v>
      </c>
      <c r="K155" s="447">
        <f t="shared" si="18"/>
        <v>0</v>
      </c>
      <c r="L155" s="383">
        <v>0</v>
      </c>
      <c r="M155" s="383">
        <v>0</v>
      </c>
      <c r="N155" s="426">
        <f t="shared" si="15"/>
        <v>0</v>
      </c>
      <c r="O155" s="399">
        <f t="shared" si="20"/>
        <v>1</v>
      </c>
      <c r="P155" s="398">
        <f t="shared" si="17"/>
        <v>286873500</v>
      </c>
      <c r="Q155" s="398"/>
      <c r="R155" s="398"/>
      <c r="S155" s="399"/>
      <c r="T155" s="400" t="s">
        <v>777</v>
      </c>
    </row>
    <row r="156" spans="1:20" ht="22.5">
      <c r="A156" s="388"/>
      <c r="B156" s="442" t="s">
        <v>743</v>
      </c>
      <c r="C156" s="390">
        <f t="shared" si="19"/>
        <v>28</v>
      </c>
      <c r="D156" s="391" t="s">
        <v>733</v>
      </c>
      <c r="E156" s="404"/>
      <c r="F156" s="436"/>
      <c r="G156" s="443"/>
      <c r="H156" s="409">
        <v>45896</v>
      </c>
      <c r="I156" s="422">
        <v>1</v>
      </c>
      <c r="J156" s="422">
        <v>120000000</v>
      </c>
      <c r="K156" s="423">
        <f t="shared" si="18"/>
        <v>120000000</v>
      </c>
      <c r="L156" s="383">
        <v>0</v>
      </c>
      <c r="M156" s="383">
        <v>0</v>
      </c>
      <c r="N156" s="426">
        <f t="shared" si="15"/>
        <v>0</v>
      </c>
      <c r="O156" s="399">
        <f t="shared" si="20"/>
        <v>1</v>
      </c>
      <c r="P156" s="398">
        <f t="shared" si="17"/>
        <v>120000000</v>
      </c>
      <c r="Q156" s="398">
        <v>120000000</v>
      </c>
      <c r="R156" s="398"/>
      <c r="S156" s="399"/>
      <c r="T156" s="400" t="s">
        <v>1619</v>
      </c>
    </row>
    <row r="157" spans="1:20" ht="67.5">
      <c r="A157" s="388"/>
      <c r="B157" s="389" t="s">
        <v>745</v>
      </c>
      <c r="C157" s="390">
        <f>C156+1</f>
        <v>29</v>
      </c>
      <c r="D157" s="391" t="s">
        <v>735</v>
      </c>
      <c r="E157" s="404"/>
      <c r="F157" s="436"/>
      <c r="G157" s="443"/>
      <c r="H157" s="409">
        <v>45989</v>
      </c>
      <c r="I157" s="446">
        <v>1</v>
      </c>
      <c r="J157" s="446">
        <v>446704500</v>
      </c>
      <c r="K157" s="447">
        <f>I157*J157</f>
        <v>446704500</v>
      </c>
      <c r="L157" s="383">
        <v>0</v>
      </c>
      <c r="M157" s="383">
        <v>0</v>
      </c>
      <c r="N157" s="426">
        <f>L157*M157</f>
        <v>0</v>
      </c>
      <c r="O157" s="399">
        <f>E157+I157-L157</f>
        <v>1</v>
      </c>
      <c r="P157" s="398">
        <f>G157+K157-N157</f>
        <v>446704500</v>
      </c>
      <c r="Q157" s="398">
        <v>136286000</v>
      </c>
      <c r="R157" s="398"/>
      <c r="S157" s="399">
        <f>+P157-Q157</f>
        <v>310418500</v>
      </c>
      <c r="T157" s="400" t="s">
        <v>1627</v>
      </c>
    </row>
    <row r="158" spans="1:20" ht="22.5">
      <c r="A158" s="388"/>
      <c r="B158" s="389" t="s">
        <v>746</v>
      </c>
      <c r="C158" s="390">
        <f>C157+1</f>
        <v>30</v>
      </c>
      <c r="D158" s="391" t="s">
        <v>736</v>
      </c>
      <c r="E158" s="404"/>
      <c r="F158" s="436"/>
      <c r="G158" s="443"/>
      <c r="H158" s="409">
        <v>46007</v>
      </c>
      <c r="I158" s="446">
        <v>1</v>
      </c>
      <c r="J158" s="446">
        <v>48450000</v>
      </c>
      <c r="K158" s="447">
        <f>I158*J158</f>
        <v>48450000</v>
      </c>
      <c r="L158" s="383">
        <v>0</v>
      </c>
      <c r="M158" s="383">
        <v>0</v>
      </c>
      <c r="N158" s="426">
        <f>L158*M158</f>
        <v>0</v>
      </c>
      <c r="O158" s="399">
        <f>E158+I158-L158</f>
        <v>1</v>
      </c>
      <c r="P158" s="398">
        <f>G158+K158-N158</f>
        <v>48450000</v>
      </c>
      <c r="Q158" s="398">
        <f>P158</f>
        <v>48450000</v>
      </c>
      <c r="R158" s="398"/>
      <c r="S158" s="399"/>
      <c r="T158" s="400" t="s">
        <v>779</v>
      </c>
    </row>
    <row r="159" spans="1:20" ht="13.7" customHeight="1">
      <c r="A159" s="388"/>
      <c r="B159" s="389"/>
      <c r="C159" s="390"/>
      <c r="D159" s="448"/>
      <c r="E159" s="404"/>
      <c r="F159" s="436"/>
      <c r="G159" s="438"/>
      <c r="H159" s="395"/>
      <c r="I159" s="383"/>
      <c r="J159" s="439"/>
      <c r="K159" s="408"/>
      <c r="L159" s="383"/>
      <c r="M159" s="383"/>
      <c r="N159" s="426"/>
      <c r="O159" s="399"/>
      <c r="P159" s="398"/>
      <c r="Q159" s="398"/>
      <c r="R159" s="398"/>
      <c r="S159" s="399"/>
      <c r="T159" s="449"/>
    </row>
    <row r="160" spans="1:20" s="349" customFormat="1" ht="13.7" customHeight="1">
      <c r="A160" s="370">
        <v>4</v>
      </c>
      <c r="B160" s="371"/>
      <c r="C160" s="372" t="s">
        <v>456</v>
      </c>
      <c r="D160" s="373"/>
      <c r="E160" s="432"/>
      <c r="F160" s="374"/>
      <c r="G160" s="375">
        <f>SUM(G161:G219)</f>
        <v>4097444289</v>
      </c>
      <c r="H160" s="375"/>
      <c r="I160" s="376">
        <f>SUM(I161:I219)</f>
        <v>3</v>
      </c>
      <c r="J160" s="375"/>
      <c r="K160" s="375">
        <f>SUM(K161:K219)</f>
        <v>45736000</v>
      </c>
      <c r="L160" s="376">
        <f>SUM(L161:L219)</f>
        <v>0</v>
      </c>
      <c r="M160" s="376"/>
      <c r="N160" s="375">
        <f t="shared" ref="N160:S160" si="21">SUM(N161:N219)</f>
        <v>0</v>
      </c>
      <c r="O160" s="376">
        <f t="shared" si="21"/>
        <v>58</v>
      </c>
      <c r="P160" s="375">
        <f t="shared" si="21"/>
        <v>4143180289</v>
      </c>
      <c r="Q160" s="375">
        <f t="shared" si="21"/>
        <v>37736000</v>
      </c>
      <c r="R160" s="375">
        <f t="shared" si="21"/>
        <v>0</v>
      </c>
      <c r="S160" s="375">
        <f t="shared" si="21"/>
        <v>8000000</v>
      </c>
      <c r="T160" s="377"/>
    </row>
    <row r="161" spans="1:20" ht="22.5">
      <c r="A161" s="350"/>
      <c r="B161" s="450" t="s">
        <v>884</v>
      </c>
      <c r="C161" s="352">
        <v>1</v>
      </c>
      <c r="D161" s="379" t="s">
        <v>877</v>
      </c>
      <c r="E161" s="451">
        <v>1</v>
      </c>
      <c r="F161" s="381">
        <v>15000000</v>
      </c>
      <c r="G161" s="386">
        <f>E161*F161</f>
        <v>15000000</v>
      </c>
      <c r="H161" s="356" t="s">
        <v>891</v>
      </c>
      <c r="I161" s="452">
        <v>0</v>
      </c>
      <c r="J161" s="452">
        <v>0</v>
      </c>
      <c r="K161" s="453">
        <f t="shared" ref="K161:K218" si="22">I161*J161</f>
        <v>0</v>
      </c>
      <c r="L161" s="452">
        <v>0</v>
      </c>
      <c r="M161" s="452">
        <v>0</v>
      </c>
      <c r="N161" s="453">
        <f t="shared" ref="N161:N218" si="23">L161*M161</f>
        <v>0</v>
      </c>
      <c r="O161" s="357">
        <f t="shared" ref="O161:O218" si="24">E161+I161-L161</f>
        <v>1</v>
      </c>
      <c r="P161" s="386">
        <f t="shared" ref="P161:P218" si="25">G161+K161-N161</f>
        <v>15000000</v>
      </c>
      <c r="Q161" s="386"/>
      <c r="R161" s="386"/>
      <c r="S161" s="357"/>
      <c r="T161" s="387" t="s">
        <v>1628</v>
      </c>
    </row>
    <row r="162" spans="1:20" ht="33.75">
      <c r="A162" s="388"/>
      <c r="B162" s="442" t="s">
        <v>885</v>
      </c>
      <c r="C162" s="390">
        <f>C161+1</f>
        <v>2</v>
      </c>
      <c r="D162" s="391" t="s">
        <v>878</v>
      </c>
      <c r="E162" s="404">
        <v>1</v>
      </c>
      <c r="F162" s="393">
        <v>410302700</v>
      </c>
      <c r="G162" s="424">
        <f>E162*F162</f>
        <v>410302700</v>
      </c>
      <c r="H162" s="409">
        <v>42634</v>
      </c>
      <c r="I162" s="422">
        <v>0</v>
      </c>
      <c r="J162" s="422">
        <v>0</v>
      </c>
      <c r="K162" s="423">
        <f t="shared" si="22"/>
        <v>0</v>
      </c>
      <c r="L162" s="422">
        <v>0</v>
      </c>
      <c r="M162" s="422">
        <v>0</v>
      </c>
      <c r="N162" s="423">
        <f t="shared" si="23"/>
        <v>0</v>
      </c>
      <c r="O162" s="397">
        <f t="shared" si="24"/>
        <v>1</v>
      </c>
      <c r="P162" s="424">
        <f t="shared" si="25"/>
        <v>410302700</v>
      </c>
      <c r="Q162" s="398"/>
      <c r="R162" s="398"/>
      <c r="S162" s="399"/>
      <c r="T162" s="400" t="s">
        <v>1629</v>
      </c>
    </row>
    <row r="163" spans="1:20">
      <c r="A163" s="388"/>
      <c r="B163" s="442" t="s">
        <v>884</v>
      </c>
      <c r="C163" s="390">
        <f t="shared" ref="C163:C218" si="26">C162+1</f>
        <v>3</v>
      </c>
      <c r="D163" s="391" t="s">
        <v>877</v>
      </c>
      <c r="E163" s="404">
        <v>1</v>
      </c>
      <c r="F163" s="393">
        <v>47296000</v>
      </c>
      <c r="G163" s="424">
        <f t="shared" ref="G163:G215" si="27">E163*F163</f>
        <v>47296000</v>
      </c>
      <c r="H163" s="395" t="s">
        <v>892</v>
      </c>
      <c r="I163" s="422">
        <v>0</v>
      </c>
      <c r="J163" s="422">
        <v>0</v>
      </c>
      <c r="K163" s="423">
        <f t="shared" si="22"/>
        <v>0</v>
      </c>
      <c r="L163" s="422">
        <v>0</v>
      </c>
      <c r="M163" s="422">
        <v>0</v>
      </c>
      <c r="N163" s="423">
        <f t="shared" si="23"/>
        <v>0</v>
      </c>
      <c r="O163" s="397">
        <f t="shared" si="24"/>
        <v>1</v>
      </c>
      <c r="P163" s="424">
        <f t="shared" si="25"/>
        <v>47296000</v>
      </c>
      <c r="Q163" s="398"/>
      <c r="R163" s="398"/>
      <c r="S163" s="399"/>
      <c r="T163" s="400" t="s">
        <v>1630</v>
      </c>
    </row>
    <row r="164" spans="1:20">
      <c r="A164" s="388"/>
      <c r="B164" s="442" t="s">
        <v>886</v>
      </c>
      <c r="C164" s="390">
        <f t="shared" si="26"/>
        <v>4</v>
      </c>
      <c r="D164" s="391" t="s">
        <v>879</v>
      </c>
      <c r="E164" s="404">
        <v>1</v>
      </c>
      <c r="F164" s="393">
        <v>46910000</v>
      </c>
      <c r="G164" s="424">
        <f t="shared" si="27"/>
        <v>46910000</v>
      </c>
      <c r="H164" s="409">
        <v>42898</v>
      </c>
      <c r="I164" s="422">
        <v>0</v>
      </c>
      <c r="J164" s="422">
        <v>0</v>
      </c>
      <c r="K164" s="423">
        <f t="shared" si="22"/>
        <v>0</v>
      </c>
      <c r="L164" s="422">
        <v>0</v>
      </c>
      <c r="M164" s="422">
        <v>0</v>
      </c>
      <c r="N164" s="423">
        <f t="shared" si="23"/>
        <v>0</v>
      </c>
      <c r="O164" s="397">
        <f t="shared" si="24"/>
        <v>1</v>
      </c>
      <c r="P164" s="424">
        <f t="shared" si="25"/>
        <v>46910000</v>
      </c>
      <c r="Q164" s="398"/>
      <c r="R164" s="398"/>
      <c r="S164" s="399"/>
      <c r="T164" s="400" t="s">
        <v>1631</v>
      </c>
    </row>
    <row r="165" spans="1:20" ht="22.5">
      <c r="A165" s="388"/>
      <c r="B165" s="442" t="s">
        <v>887</v>
      </c>
      <c r="C165" s="390">
        <f t="shared" si="26"/>
        <v>5</v>
      </c>
      <c r="D165" s="391" t="s">
        <v>880</v>
      </c>
      <c r="E165" s="404">
        <v>1</v>
      </c>
      <c r="F165" s="393">
        <v>16987909</v>
      </c>
      <c r="G165" s="424">
        <f t="shared" si="27"/>
        <v>16987909</v>
      </c>
      <c r="H165" s="395" t="s">
        <v>893</v>
      </c>
      <c r="I165" s="422">
        <v>0</v>
      </c>
      <c r="J165" s="422">
        <v>0</v>
      </c>
      <c r="K165" s="423">
        <f t="shared" si="22"/>
        <v>0</v>
      </c>
      <c r="L165" s="422">
        <v>0</v>
      </c>
      <c r="M165" s="422">
        <v>0</v>
      </c>
      <c r="N165" s="423">
        <f t="shared" si="23"/>
        <v>0</v>
      </c>
      <c r="O165" s="397">
        <f t="shared" si="24"/>
        <v>1</v>
      </c>
      <c r="P165" s="424">
        <f t="shared" si="25"/>
        <v>16987909</v>
      </c>
      <c r="Q165" s="398"/>
      <c r="R165" s="398"/>
      <c r="S165" s="399"/>
      <c r="T165" s="400" t="s">
        <v>1632</v>
      </c>
    </row>
    <row r="166" spans="1:20" ht="45">
      <c r="A166" s="388"/>
      <c r="B166" s="442" t="s">
        <v>885</v>
      </c>
      <c r="C166" s="390">
        <f t="shared" si="26"/>
        <v>6</v>
      </c>
      <c r="D166" s="391" t="s">
        <v>878</v>
      </c>
      <c r="E166" s="404">
        <v>1</v>
      </c>
      <c r="F166" s="393">
        <v>318295180</v>
      </c>
      <c r="G166" s="424">
        <f t="shared" si="27"/>
        <v>318295180</v>
      </c>
      <c r="H166" s="409">
        <v>42959</v>
      </c>
      <c r="I166" s="422">
        <v>0</v>
      </c>
      <c r="J166" s="422">
        <v>0</v>
      </c>
      <c r="K166" s="423">
        <f t="shared" si="22"/>
        <v>0</v>
      </c>
      <c r="L166" s="422">
        <v>0</v>
      </c>
      <c r="M166" s="422">
        <v>0</v>
      </c>
      <c r="N166" s="423">
        <f t="shared" si="23"/>
        <v>0</v>
      </c>
      <c r="O166" s="397">
        <f t="shared" si="24"/>
        <v>1</v>
      </c>
      <c r="P166" s="424">
        <f t="shared" si="25"/>
        <v>318295180</v>
      </c>
      <c r="Q166" s="398"/>
      <c r="R166" s="398"/>
      <c r="S166" s="399"/>
      <c r="T166" s="400" t="s">
        <v>1633</v>
      </c>
    </row>
    <row r="167" spans="1:20">
      <c r="A167" s="388"/>
      <c r="B167" s="389" t="s">
        <v>886</v>
      </c>
      <c r="C167" s="390">
        <f t="shared" si="26"/>
        <v>7</v>
      </c>
      <c r="D167" s="391" t="s">
        <v>879</v>
      </c>
      <c r="E167" s="404">
        <v>1</v>
      </c>
      <c r="F167" s="393">
        <v>96200000</v>
      </c>
      <c r="G167" s="424">
        <f t="shared" si="27"/>
        <v>96200000</v>
      </c>
      <c r="H167" s="409">
        <v>43272</v>
      </c>
      <c r="I167" s="422">
        <v>0</v>
      </c>
      <c r="J167" s="422">
        <v>0</v>
      </c>
      <c r="K167" s="423">
        <f t="shared" si="22"/>
        <v>0</v>
      </c>
      <c r="L167" s="422">
        <v>0</v>
      </c>
      <c r="M167" s="422">
        <v>0</v>
      </c>
      <c r="N167" s="423">
        <f t="shared" si="23"/>
        <v>0</v>
      </c>
      <c r="O167" s="397">
        <f t="shared" si="24"/>
        <v>1</v>
      </c>
      <c r="P167" s="424">
        <f t="shared" si="25"/>
        <v>96200000</v>
      </c>
      <c r="Q167" s="398"/>
      <c r="R167" s="398"/>
      <c r="S167" s="399"/>
      <c r="T167" s="400" t="s">
        <v>1634</v>
      </c>
    </row>
    <row r="168" spans="1:20" ht="22.5">
      <c r="A168" s="388"/>
      <c r="B168" s="442" t="s">
        <v>885</v>
      </c>
      <c r="C168" s="390">
        <f t="shared" si="26"/>
        <v>8</v>
      </c>
      <c r="D168" s="391" t="s">
        <v>878</v>
      </c>
      <c r="E168" s="404">
        <v>1</v>
      </c>
      <c r="F168" s="393">
        <v>179640000</v>
      </c>
      <c r="G168" s="424">
        <f t="shared" si="27"/>
        <v>179640000</v>
      </c>
      <c r="H168" s="409">
        <v>43401</v>
      </c>
      <c r="I168" s="422">
        <v>0</v>
      </c>
      <c r="J168" s="422">
        <v>0</v>
      </c>
      <c r="K168" s="423">
        <f t="shared" si="22"/>
        <v>0</v>
      </c>
      <c r="L168" s="422">
        <v>0</v>
      </c>
      <c r="M168" s="422">
        <v>0</v>
      </c>
      <c r="N168" s="423">
        <f t="shared" si="23"/>
        <v>0</v>
      </c>
      <c r="O168" s="397">
        <f t="shared" si="24"/>
        <v>1</v>
      </c>
      <c r="P168" s="424">
        <f t="shared" si="25"/>
        <v>179640000</v>
      </c>
      <c r="Q168" s="398"/>
      <c r="R168" s="398"/>
      <c r="S168" s="399"/>
      <c r="T168" s="400" t="s">
        <v>1635</v>
      </c>
    </row>
    <row r="169" spans="1:20" ht="22.5">
      <c r="A169" s="388"/>
      <c r="B169" s="389" t="s">
        <v>884</v>
      </c>
      <c r="C169" s="390">
        <f t="shared" si="26"/>
        <v>9</v>
      </c>
      <c r="D169" s="391" t="s">
        <v>877</v>
      </c>
      <c r="E169" s="404">
        <v>1</v>
      </c>
      <c r="F169" s="393">
        <v>97845000</v>
      </c>
      <c r="G169" s="424">
        <f t="shared" si="27"/>
        <v>97845000</v>
      </c>
      <c r="H169" s="409">
        <v>43430</v>
      </c>
      <c r="I169" s="422">
        <v>0</v>
      </c>
      <c r="J169" s="422">
        <v>0</v>
      </c>
      <c r="K169" s="423">
        <f t="shared" si="22"/>
        <v>0</v>
      </c>
      <c r="L169" s="422">
        <v>0</v>
      </c>
      <c r="M169" s="422">
        <v>0</v>
      </c>
      <c r="N169" s="423">
        <f t="shared" si="23"/>
        <v>0</v>
      </c>
      <c r="O169" s="397">
        <f t="shared" si="24"/>
        <v>1</v>
      </c>
      <c r="P169" s="424">
        <f t="shared" si="25"/>
        <v>97845000</v>
      </c>
      <c r="Q169" s="398"/>
      <c r="R169" s="398"/>
      <c r="S169" s="399"/>
      <c r="T169" s="400" t="s">
        <v>1636</v>
      </c>
    </row>
    <row r="170" spans="1:20" ht="22.5">
      <c r="A170" s="388"/>
      <c r="B170" s="442" t="s">
        <v>887</v>
      </c>
      <c r="C170" s="390">
        <f t="shared" si="26"/>
        <v>10</v>
      </c>
      <c r="D170" s="391" t="s">
        <v>880</v>
      </c>
      <c r="E170" s="404">
        <v>1</v>
      </c>
      <c r="F170" s="454">
        <v>6378400</v>
      </c>
      <c r="G170" s="424">
        <f t="shared" si="27"/>
        <v>6378400</v>
      </c>
      <c r="H170" s="395" t="s">
        <v>700</v>
      </c>
      <c r="I170" s="422">
        <v>0</v>
      </c>
      <c r="J170" s="455">
        <v>0</v>
      </c>
      <c r="K170" s="423">
        <f t="shared" si="22"/>
        <v>0</v>
      </c>
      <c r="L170" s="422">
        <v>0</v>
      </c>
      <c r="M170" s="422">
        <v>0</v>
      </c>
      <c r="N170" s="423">
        <f t="shared" si="23"/>
        <v>0</v>
      </c>
      <c r="O170" s="397">
        <f t="shared" si="24"/>
        <v>1</v>
      </c>
      <c r="P170" s="424">
        <f t="shared" si="25"/>
        <v>6378400</v>
      </c>
      <c r="Q170" s="398"/>
      <c r="R170" s="398"/>
      <c r="S170" s="399"/>
      <c r="T170" s="456" t="s">
        <v>1637</v>
      </c>
    </row>
    <row r="171" spans="1:20" ht="22.5">
      <c r="A171" s="388"/>
      <c r="B171" s="442" t="s">
        <v>886</v>
      </c>
      <c r="C171" s="390">
        <f t="shared" si="26"/>
        <v>11</v>
      </c>
      <c r="D171" s="391" t="s">
        <v>879</v>
      </c>
      <c r="E171" s="404">
        <v>1</v>
      </c>
      <c r="F171" s="457">
        <v>104402000</v>
      </c>
      <c r="G171" s="424">
        <f t="shared" si="27"/>
        <v>104402000</v>
      </c>
      <c r="H171" s="409">
        <v>43782</v>
      </c>
      <c r="I171" s="422">
        <v>0</v>
      </c>
      <c r="J171" s="455">
        <v>0</v>
      </c>
      <c r="K171" s="423">
        <f t="shared" si="22"/>
        <v>0</v>
      </c>
      <c r="L171" s="422">
        <v>0</v>
      </c>
      <c r="M171" s="422">
        <v>0</v>
      </c>
      <c r="N171" s="423">
        <f t="shared" si="23"/>
        <v>0</v>
      </c>
      <c r="O171" s="397">
        <f t="shared" si="24"/>
        <v>1</v>
      </c>
      <c r="P171" s="424">
        <f t="shared" si="25"/>
        <v>104402000</v>
      </c>
      <c r="Q171" s="398"/>
      <c r="R171" s="398"/>
      <c r="S171" s="399"/>
      <c r="T171" s="456" t="s">
        <v>1638</v>
      </c>
    </row>
    <row r="172" spans="1:20" ht="22.5">
      <c r="A172" s="388"/>
      <c r="B172" s="442" t="s">
        <v>884</v>
      </c>
      <c r="C172" s="390">
        <f t="shared" si="26"/>
        <v>12</v>
      </c>
      <c r="D172" s="391" t="s">
        <v>877</v>
      </c>
      <c r="E172" s="404">
        <v>1</v>
      </c>
      <c r="F172" s="457">
        <v>83092500</v>
      </c>
      <c r="G172" s="424">
        <f t="shared" si="27"/>
        <v>83092500</v>
      </c>
      <c r="H172" s="409">
        <v>43640</v>
      </c>
      <c r="I172" s="422">
        <v>0</v>
      </c>
      <c r="J172" s="455">
        <v>0</v>
      </c>
      <c r="K172" s="423">
        <f t="shared" si="22"/>
        <v>0</v>
      </c>
      <c r="L172" s="422">
        <v>0</v>
      </c>
      <c r="M172" s="422">
        <v>0</v>
      </c>
      <c r="N172" s="423">
        <f t="shared" si="23"/>
        <v>0</v>
      </c>
      <c r="O172" s="397">
        <f t="shared" si="24"/>
        <v>1</v>
      </c>
      <c r="P172" s="424">
        <f t="shared" si="25"/>
        <v>83092500</v>
      </c>
      <c r="Q172" s="398"/>
      <c r="R172" s="398"/>
      <c r="S172" s="399"/>
      <c r="T172" s="456" t="s">
        <v>1639</v>
      </c>
    </row>
    <row r="173" spans="1:20" ht="22.5">
      <c r="A173" s="388"/>
      <c r="B173" s="442" t="s">
        <v>886</v>
      </c>
      <c r="C173" s="390">
        <f t="shared" si="26"/>
        <v>13</v>
      </c>
      <c r="D173" s="391" t="s">
        <v>879</v>
      </c>
      <c r="E173" s="404">
        <v>1</v>
      </c>
      <c r="F173" s="457">
        <v>103424000</v>
      </c>
      <c r="G173" s="424">
        <f t="shared" si="27"/>
        <v>103424000</v>
      </c>
      <c r="H173" s="409">
        <v>43640</v>
      </c>
      <c r="I173" s="422">
        <v>0</v>
      </c>
      <c r="J173" s="455">
        <v>0</v>
      </c>
      <c r="K173" s="423">
        <f t="shared" si="22"/>
        <v>0</v>
      </c>
      <c r="L173" s="422">
        <v>0</v>
      </c>
      <c r="M173" s="422">
        <v>0</v>
      </c>
      <c r="N173" s="423">
        <f t="shared" si="23"/>
        <v>0</v>
      </c>
      <c r="O173" s="397">
        <f t="shared" si="24"/>
        <v>1</v>
      </c>
      <c r="P173" s="424">
        <f t="shared" si="25"/>
        <v>103424000</v>
      </c>
      <c r="Q173" s="398"/>
      <c r="R173" s="398"/>
      <c r="S173" s="399"/>
      <c r="T173" s="456" t="s">
        <v>1640</v>
      </c>
    </row>
    <row r="174" spans="1:20" ht="22.5">
      <c r="A174" s="388"/>
      <c r="B174" s="442" t="s">
        <v>885</v>
      </c>
      <c r="C174" s="390">
        <f t="shared" si="26"/>
        <v>14</v>
      </c>
      <c r="D174" s="391" t="s">
        <v>878</v>
      </c>
      <c r="E174" s="404">
        <v>1</v>
      </c>
      <c r="F174" s="454">
        <v>141242000</v>
      </c>
      <c r="G174" s="424">
        <f t="shared" si="27"/>
        <v>141242000</v>
      </c>
      <c r="H174" s="409">
        <v>43697</v>
      </c>
      <c r="I174" s="422">
        <v>0</v>
      </c>
      <c r="J174" s="455">
        <v>0</v>
      </c>
      <c r="K174" s="423">
        <f t="shared" si="22"/>
        <v>0</v>
      </c>
      <c r="L174" s="422">
        <v>0</v>
      </c>
      <c r="M174" s="422">
        <v>0</v>
      </c>
      <c r="N174" s="423">
        <f t="shared" si="23"/>
        <v>0</v>
      </c>
      <c r="O174" s="397">
        <f t="shared" si="24"/>
        <v>1</v>
      </c>
      <c r="P174" s="424">
        <f t="shared" si="25"/>
        <v>141242000</v>
      </c>
      <c r="Q174" s="398"/>
      <c r="R174" s="398"/>
      <c r="S174" s="399"/>
      <c r="T174" s="456" t="s">
        <v>1641</v>
      </c>
    </row>
    <row r="175" spans="1:20" ht="33.75">
      <c r="A175" s="388"/>
      <c r="B175" s="442" t="s">
        <v>885</v>
      </c>
      <c r="C175" s="390">
        <f t="shared" si="26"/>
        <v>15</v>
      </c>
      <c r="D175" s="391" t="s">
        <v>878</v>
      </c>
      <c r="E175" s="404">
        <v>1</v>
      </c>
      <c r="F175" s="454">
        <v>88510000</v>
      </c>
      <c r="G175" s="424">
        <f t="shared" si="27"/>
        <v>88510000</v>
      </c>
      <c r="H175" s="409">
        <v>43678</v>
      </c>
      <c r="I175" s="422">
        <v>0</v>
      </c>
      <c r="J175" s="455">
        <v>0</v>
      </c>
      <c r="K175" s="423">
        <f t="shared" si="22"/>
        <v>0</v>
      </c>
      <c r="L175" s="422">
        <v>0</v>
      </c>
      <c r="M175" s="422">
        <v>0</v>
      </c>
      <c r="N175" s="423">
        <f t="shared" si="23"/>
        <v>0</v>
      </c>
      <c r="O175" s="397">
        <f t="shared" si="24"/>
        <v>1</v>
      </c>
      <c r="P175" s="424">
        <f t="shared" si="25"/>
        <v>88510000</v>
      </c>
      <c r="Q175" s="398"/>
      <c r="R175" s="398"/>
      <c r="S175" s="399"/>
      <c r="T175" s="456" t="s">
        <v>1642</v>
      </c>
    </row>
    <row r="176" spans="1:20" ht="22.5">
      <c r="A176" s="388"/>
      <c r="B176" s="442" t="s">
        <v>888</v>
      </c>
      <c r="C176" s="390">
        <f t="shared" si="26"/>
        <v>16</v>
      </c>
      <c r="D176" s="391" t="s">
        <v>881</v>
      </c>
      <c r="E176" s="404">
        <v>1</v>
      </c>
      <c r="F176" s="393">
        <v>29423656</v>
      </c>
      <c r="G176" s="424">
        <f t="shared" si="27"/>
        <v>29423656</v>
      </c>
      <c r="H176" s="409">
        <v>43731</v>
      </c>
      <c r="I176" s="422">
        <v>0</v>
      </c>
      <c r="J176" s="422">
        <v>0</v>
      </c>
      <c r="K176" s="423">
        <f t="shared" si="22"/>
        <v>0</v>
      </c>
      <c r="L176" s="422">
        <v>0</v>
      </c>
      <c r="M176" s="422">
        <v>0</v>
      </c>
      <c r="N176" s="423">
        <f t="shared" si="23"/>
        <v>0</v>
      </c>
      <c r="O176" s="397">
        <f t="shared" si="24"/>
        <v>1</v>
      </c>
      <c r="P176" s="424">
        <f t="shared" si="25"/>
        <v>29423656</v>
      </c>
      <c r="Q176" s="398"/>
      <c r="R176" s="398"/>
      <c r="S176" s="399"/>
      <c r="T176" s="400" t="s">
        <v>1643</v>
      </c>
    </row>
    <row r="177" spans="1:20" ht="22.5">
      <c r="A177" s="388"/>
      <c r="B177" s="442" t="s">
        <v>888</v>
      </c>
      <c r="C177" s="390">
        <f t="shared" si="26"/>
        <v>17</v>
      </c>
      <c r="D177" s="391" t="s">
        <v>881</v>
      </c>
      <c r="E177" s="404">
        <v>1</v>
      </c>
      <c r="F177" s="393">
        <v>31251212</v>
      </c>
      <c r="G177" s="424">
        <f t="shared" si="27"/>
        <v>31251212</v>
      </c>
      <c r="H177" s="409">
        <v>43731</v>
      </c>
      <c r="I177" s="422">
        <v>0</v>
      </c>
      <c r="J177" s="422">
        <v>0</v>
      </c>
      <c r="K177" s="423">
        <f t="shared" si="22"/>
        <v>0</v>
      </c>
      <c r="L177" s="422">
        <v>0</v>
      </c>
      <c r="M177" s="422">
        <v>0</v>
      </c>
      <c r="N177" s="423">
        <f t="shared" si="23"/>
        <v>0</v>
      </c>
      <c r="O177" s="397">
        <f t="shared" si="24"/>
        <v>1</v>
      </c>
      <c r="P177" s="424">
        <f t="shared" si="25"/>
        <v>31251212</v>
      </c>
      <c r="Q177" s="398"/>
      <c r="R177" s="398"/>
      <c r="S177" s="399"/>
      <c r="T177" s="400" t="s">
        <v>1644</v>
      </c>
    </row>
    <row r="178" spans="1:20" ht="33.75">
      <c r="A178" s="395"/>
      <c r="B178" s="458" t="s">
        <v>888</v>
      </c>
      <c r="C178" s="390">
        <f t="shared" si="26"/>
        <v>18</v>
      </c>
      <c r="D178" s="391" t="s">
        <v>881</v>
      </c>
      <c r="E178" s="404">
        <v>1</v>
      </c>
      <c r="F178" s="393">
        <v>10782582</v>
      </c>
      <c r="G178" s="424">
        <f t="shared" si="27"/>
        <v>10782582</v>
      </c>
      <c r="H178" s="409">
        <v>43731</v>
      </c>
      <c r="I178" s="422">
        <v>0</v>
      </c>
      <c r="J178" s="422">
        <v>0</v>
      </c>
      <c r="K178" s="423">
        <f t="shared" si="22"/>
        <v>0</v>
      </c>
      <c r="L178" s="422">
        <v>0</v>
      </c>
      <c r="M178" s="422">
        <v>0</v>
      </c>
      <c r="N178" s="423">
        <f t="shared" si="23"/>
        <v>0</v>
      </c>
      <c r="O178" s="397">
        <f t="shared" si="24"/>
        <v>1</v>
      </c>
      <c r="P178" s="424">
        <f t="shared" si="25"/>
        <v>10782582</v>
      </c>
      <c r="Q178" s="398"/>
      <c r="R178" s="398"/>
      <c r="S178" s="399"/>
      <c r="T178" s="400" t="s">
        <v>1645</v>
      </c>
    </row>
    <row r="179" spans="1:20" ht="33.75">
      <c r="A179" s="388"/>
      <c r="B179" s="442" t="s">
        <v>887</v>
      </c>
      <c r="C179" s="390">
        <f t="shared" si="26"/>
        <v>19</v>
      </c>
      <c r="D179" s="391" t="s">
        <v>880</v>
      </c>
      <c r="E179" s="404">
        <v>1</v>
      </c>
      <c r="F179" s="393">
        <v>11520000</v>
      </c>
      <c r="G179" s="424">
        <f t="shared" si="27"/>
        <v>11520000</v>
      </c>
      <c r="H179" s="395" t="s">
        <v>894</v>
      </c>
      <c r="I179" s="422">
        <v>0</v>
      </c>
      <c r="J179" s="422">
        <v>0</v>
      </c>
      <c r="K179" s="423">
        <f t="shared" si="22"/>
        <v>0</v>
      </c>
      <c r="L179" s="422">
        <v>0</v>
      </c>
      <c r="M179" s="422">
        <v>0</v>
      </c>
      <c r="N179" s="423">
        <f t="shared" si="23"/>
        <v>0</v>
      </c>
      <c r="O179" s="397">
        <f t="shared" si="24"/>
        <v>1</v>
      </c>
      <c r="P179" s="424">
        <f t="shared" si="25"/>
        <v>11520000</v>
      </c>
      <c r="Q179" s="398"/>
      <c r="R179" s="398"/>
      <c r="S179" s="399"/>
      <c r="T179" s="400" t="s">
        <v>1646</v>
      </c>
    </row>
    <row r="180" spans="1:20" ht="22.5">
      <c r="A180" s="388"/>
      <c r="B180" s="442" t="s">
        <v>887</v>
      </c>
      <c r="C180" s="390">
        <f t="shared" si="26"/>
        <v>20</v>
      </c>
      <c r="D180" s="391" t="s">
        <v>880</v>
      </c>
      <c r="E180" s="404">
        <v>1</v>
      </c>
      <c r="F180" s="393">
        <v>11520000</v>
      </c>
      <c r="G180" s="424">
        <f t="shared" si="27"/>
        <v>11520000</v>
      </c>
      <c r="H180" s="395" t="s">
        <v>894</v>
      </c>
      <c r="I180" s="422">
        <v>0</v>
      </c>
      <c r="J180" s="422">
        <v>0</v>
      </c>
      <c r="K180" s="423">
        <f t="shared" si="22"/>
        <v>0</v>
      </c>
      <c r="L180" s="422">
        <v>0</v>
      </c>
      <c r="M180" s="422">
        <v>0</v>
      </c>
      <c r="N180" s="423">
        <f t="shared" si="23"/>
        <v>0</v>
      </c>
      <c r="O180" s="397">
        <f t="shared" si="24"/>
        <v>1</v>
      </c>
      <c r="P180" s="424">
        <f t="shared" si="25"/>
        <v>11520000</v>
      </c>
      <c r="Q180" s="398"/>
      <c r="R180" s="398"/>
      <c r="S180" s="399"/>
      <c r="T180" s="400" t="s">
        <v>1647</v>
      </c>
    </row>
    <row r="181" spans="1:20" ht="22.5">
      <c r="A181" s="388"/>
      <c r="B181" s="442" t="s">
        <v>884</v>
      </c>
      <c r="C181" s="390">
        <f t="shared" si="26"/>
        <v>21</v>
      </c>
      <c r="D181" s="391" t="s">
        <v>877</v>
      </c>
      <c r="E181" s="404">
        <v>1</v>
      </c>
      <c r="F181" s="393">
        <v>206002000</v>
      </c>
      <c r="G181" s="424">
        <f t="shared" si="27"/>
        <v>206002000</v>
      </c>
      <c r="H181" s="409">
        <v>43986</v>
      </c>
      <c r="I181" s="422">
        <v>0</v>
      </c>
      <c r="J181" s="422">
        <v>0</v>
      </c>
      <c r="K181" s="423">
        <f t="shared" si="22"/>
        <v>0</v>
      </c>
      <c r="L181" s="422">
        <v>0</v>
      </c>
      <c r="M181" s="422">
        <v>0</v>
      </c>
      <c r="N181" s="423">
        <f t="shared" si="23"/>
        <v>0</v>
      </c>
      <c r="O181" s="397">
        <f t="shared" si="24"/>
        <v>1</v>
      </c>
      <c r="P181" s="424">
        <f t="shared" si="25"/>
        <v>206002000</v>
      </c>
      <c r="Q181" s="398"/>
      <c r="R181" s="398"/>
      <c r="S181" s="399"/>
      <c r="T181" s="400" t="s">
        <v>1648</v>
      </c>
    </row>
    <row r="182" spans="1:20" ht="22.5">
      <c r="A182" s="388"/>
      <c r="B182" s="442" t="s">
        <v>885</v>
      </c>
      <c r="C182" s="390">
        <f t="shared" si="26"/>
        <v>22</v>
      </c>
      <c r="D182" s="391" t="s">
        <v>878</v>
      </c>
      <c r="E182" s="404">
        <v>1</v>
      </c>
      <c r="F182" s="393">
        <v>191132000</v>
      </c>
      <c r="G182" s="424">
        <f t="shared" si="27"/>
        <v>191132000</v>
      </c>
      <c r="H182" s="409">
        <v>44421</v>
      </c>
      <c r="I182" s="422">
        <v>0</v>
      </c>
      <c r="J182" s="422">
        <v>0</v>
      </c>
      <c r="K182" s="423">
        <f t="shared" si="22"/>
        <v>0</v>
      </c>
      <c r="L182" s="422">
        <v>0</v>
      </c>
      <c r="M182" s="422">
        <v>0</v>
      </c>
      <c r="N182" s="423">
        <f t="shared" si="23"/>
        <v>0</v>
      </c>
      <c r="O182" s="397">
        <f t="shared" si="24"/>
        <v>1</v>
      </c>
      <c r="P182" s="424">
        <f t="shared" si="25"/>
        <v>191132000</v>
      </c>
      <c r="Q182" s="398"/>
      <c r="R182" s="398"/>
      <c r="S182" s="399"/>
      <c r="T182" s="400" t="s">
        <v>1649</v>
      </c>
    </row>
    <row r="183" spans="1:20" ht="22.5">
      <c r="A183" s="388"/>
      <c r="B183" s="442" t="s">
        <v>888</v>
      </c>
      <c r="C183" s="390">
        <f t="shared" si="26"/>
        <v>23</v>
      </c>
      <c r="D183" s="391" t="s">
        <v>881</v>
      </c>
      <c r="E183" s="404">
        <v>1</v>
      </c>
      <c r="F183" s="393">
        <v>53380000</v>
      </c>
      <c r="G183" s="424">
        <f t="shared" si="27"/>
        <v>53380000</v>
      </c>
      <c r="H183" s="409">
        <v>44715</v>
      </c>
      <c r="I183" s="422">
        <v>0</v>
      </c>
      <c r="J183" s="422">
        <v>0</v>
      </c>
      <c r="K183" s="423">
        <f t="shared" si="22"/>
        <v>0</v>
      </c>
      <c r="L183" s="422">
        <v>0</v>
      </c>
      <c r="M183" s="422">
        <v>0</v>
      </c>
      <c r="N183" s="423">
        <f t="shared" si="23"/>
        <v>0</v>
      </c>
      <c r="O183" s="397">
        <f t="shared" si="24"/>
        <v>1</v>
      </c>
      <c r="P183" s="424">
        <f t="shared" si="25"/>
        <v>53380000</v>
      </c>
      <c r="Q183" s="398"/>
      <c r="R183" s="398"/>
      <c r="S183" s="399"/>
      <c r="T183" s="400" t="s">
        <v>1650</v>
      </c>
    </row>
    <row r="184" spans="1:20" ht="22.5">
      <c r="A184" s="388"/>
      <c r="B184" s="389" t="s">
        <v>888</v>
      </c>
      <c r="C184" s="390">
        <f t="shared" si="26"/>
        <v>24</v>
      </c>
      <c r="D184" s="391" t="s">
        <v>881</v>
      </c>
      <c r="E184" s="404">
        <v>1</v>
      </c>
      <c r="F184" s="393">
        <v>97456500</v>
      </c>
      <c r="G184" s="424">
        <f t="shared" si="27"/>
        <v>97456500</v>
      </c>
      <c r="H184" s="409">
        <v>44867</v>
      </c>
      <c r="I184" s="422">
        <v>0</v>
      </c>
      <c r="J184" s="422">
        <v>0</v>
      </c>
      <c r="K184" s="423">
        <f t="shared" si="22"/>
        <v>0</v>
      </c>
      <c r="L184" s="422">
        <v>0</v>
      </c>
      <c r="M184" s="422">
        <v>0</v>
      </c>
      <c r="N184" s="423">
        <f t="shared" si="23"/>
        <v>0</v>
      </c>
      <c r="O184" s="397">
        <f t="shared" si="24"/>
        <v>1</v>
      </c>
      <c r="P184" s="424">
        <f t="shared" si="25"/>
        <v>97456500</v>
      </c>
      <c r="Q184" s="398"/>
      <c r="R184" s="398"/>
      <c r="S184" s="399"/>
      <c r="T184" s="400" t="s">
        <v>1651</v>
      </c>
    </row>
    <row r="185" spans="1:20" ht="22.5">
      <c r="A185" s="388"/>
      <c r="B185" s="389" t="s">
        <v>888</v>
      </c>
      <c r="C185" s="390">
        <f t="shared" si="26"/>
        <v>25</v>
      </c>
      <c r="D185" s="391" t="s">
        <v>881</v>
      </c>
      <c r="E185" s="404">
        <v>1</v>
      </c>
      <c r="F185" s="393">
        <v>97456500</v>
      </c>
      <c r="G185" s="424">
        <f t="shared" si="27"/>
        <v>97456500</v>
      </c>
      <c r="H185" s="409">
        <v>44869</v>
      </c>
      <c r="I185" s="422">
        <v>0</v>
      </c>
      <c r="J185" s="422">
        <v>0</v>
      </c>
      <c r="K185" s="423">
        <f t="shared" si="22"/>
        <v>0</v>
      </c>
      <c r="L185" s="422">
        <v>0</v>
      </c>
      <c r="M185" s="422">
        <v>0</v>
      </c>
      <c r="N185" s="423">
        <f t="shared" si="23"/>
        <v>0</v>
      </c>
      <c r="O185" s="397">
        <f t="shared" si="24"/>
        <v>1</v>
      </c>
      <c r="P185" s="424">
        <f t="shared" si="25"/>
        <v>97456500</v>
      </c>
      <c r="Q185" s="398"/>
      <c r="R185" s="398"/>
      <c r="S185" s="399"/>
      <c r="T185" s="400" t="s">
        <v>1652</v>
      </c>
    </row>
    <row r="186" spans="1:20" ht="33.75">
      <c r="A186" s="388"/>
      <c r="B186" s="389" t="s">
        <v>885</v>
      </c>
      <c r="C186" s="390">
        <f t="shared" si="26"/>
        <v>26</v>
      </c>
      <c r="D186" s="391" t="s">
        <v>878</v>
      </c>
      <c r="E186" s="404">
        <v>1</v>
      </c>
      <c r="F186" s="393">
        <v>123752700</v>
      </c>
      <c r="G186" s="424">
        <f t="shared" si="27"/>
        <v>123752700</v>
      </c>
      <c r="H186" s="409">
        <v>44977</v>
      </c>
      <c r="I186" s="422">
        <v>0</v>
      </c>
      <c r="J186" s="422">
        <v>0</v>
      </c>
      <c r="K186" s="423">
        <f t="shared" si="22"/>
        <v>0</v>
      </c>
      <c r="L186" s="422">
        <v>0</v>
      </c>
      <c r="M186" s="422">
        <v>0</v>
      </c>
      <c r="N186" s="423">
        <f t="shared" si="23"/>
        <v>0</v>
      </c>
      <c r="O186" s="397">
        <f t="shared" si="24"/>
        <v>1</v>
      </c>
      <c r="P186" s="424">
        <f t="shared" si="25"/>
        <v>123752700</v>
      </c>
      <c r="Q186" s="398"/>
      <c r="R186" s="398"/>
      <c r="S186" s="399"/>
      <c r="T186" s="400" t="s">
        <v>1653</v>
      </c>
    </row>
    <row r="187" spans="1:20">
      <c r="A187" s="388"/>
      <c r="B187" s="389" t="s">
        <v>886</v>
      </c>
      <c r="C187" s="390">
        <f t="shared" si="26"/>
        <v>27</v>
      </c>
      <c r="D187" s="391" t="s">
        <v>879</v>
      </c>
      <c r="E187" s="404">
        <v>1</v>
      </c>
      <c r="F187" s="393">
        <v>27769500</v>
      </c>
      <c r="G187" s="424">
        <f t="shared" si="27"/>
        <v>27769500</v>
      </c>
      <c r="H187" s="409">
        <v>45001</v>
      </c>
      <c r="I187" s="422">
        <v>0</v>
      </c>
      <c r="J187" s="422">
        <v>0</v>
      </c>
      <c r="K187" s="423">
        <f t="shared" si="22"/>
        <v>0</v>
      </c>
      <c r="L187" s="422">
        <v>0</v>
      </c>
      <c r="M187" s="422">
        <v>0</v>
      </c>
      <c r="N187" s="423">
        <f t="shared" si="23"/>
        <v>0</v>
      </c>
      <c r="O187" s="397">
        <f t="shared" si="24"/>
        <v>1</v>
      </c>
      <c r="P187" s="424">
        <f t="shared" si="25"/>
        <v>27769500</v>
      </c>
      <c r="Q187" s="398"/>
      <c r="R187" s="398"/>
      <c r="S187" s="399"/>
      <c r="T187" s="400" t="s">
        <v>1654</v>
      </c>
    </row>
    <row r="188" spans="1:20">
      <c r="A188" s="388"/>
      <c r="B188" s="389" t="s">
        <v>886</v>
      </c>
      <c r="C188" s="390">
        <f t="shared" si="26"/>
        <v>28</v>
      </c>
      <c r="D188" s="391" t="s">
        <v>879</v>
      </c>
      <c r="E188" s="404">
        <v>1</v>
      </c>
      <c r="F188" s="457">
        <v>27724500</v>
      </c>
      <c r="G188" s="424">
        <f t="shared" si="27"/>
        <v>27724500</v>
      </c>
      <c r="H188" s="409">
        <v>45001</v>
      </c>
      <c r="I188" s="422">
        <v>0</v>
      </c>
      <c r="J188" s="459">
        <v>0</v>
      </c>
      <c r="K188" s="423">
        <f t="shared" si="22"/>
        <v>0</v>
      </c>
      <c r="L188" s="422">
        <v>0</v>
      </c>
      <c r="M188" s="422">
        <v>0</v>
      </c>
      <c r="N188" s="423">
        <f t="shared" si="23"/>
        <v>0</v>
      </c>
      <c r="O188" s="397">
        <f t="shared" si="24"/>
        <v>1</v>
      </c>
      <c r="P188" s="424">
        <f t="shared" si="25"/>
        <v>27724500</v>
      </c>
      <c r="Q188" s="398"/>
      <c r="R188" s="398"/>
      <c r="S188" s="399"/>
      <c r="T188" s="460" t="s">
        <v>1655</v>
      </c>
    </row>
    <row r="189" spans="1:20">
      <c r="A189" s="388"/>
      <c r="B189" s="389" t="s">
        <v>886</v>
      </c>
      <c r="C189" s="390">
        <f t="shared" si="26"/>
        <v>29</v>
      </c>
      <c r="D189" s="391" t="s">
        <v>879</v>
      </c>
      <c r="E189" s="404">
        <v>1</v>
      </c>
      <c r="F189" s="454">
        <v>27695000</v>
      </c>
      <c r="G189" s="424">
        <f t="shared" si="27"/>
        <v>27695000</v>
      </c>
      <c r="H189" s="409">
        <v>45001</v>
      </c>
      <c r="I189" s="422">
        <v>0</v>
      </c>
      <c r="J189" s="459">
        <v>0</v>
      </c>
      <c r="K189" s="423">
        <f t="shared" si="22"/>
        <v>0</v>
      </c>
      <c r="L189" s="422">
        <v>0</v>
      </c>
      <c r="M189" s="422">
        <v>0</v>
      </c>
      <c r="N189" s="423">
        <f t="shared" si="23"/>
        <v>0</v>
      </c>
      <c r="O189" s="397">
        <f t="shared" si="24"/>
        <v>1</v>
      </c>
      <c r="P189" s="424">
        <f t="shared" si="25"/>
        <v>27695000</v>
      </c>
      <c r="Q189" s="398"/>
      <c r="R189" s="398"/>
      <c r="S189" s="399"/>
      <c r="T189" s="460" t="s">
        <v>1656</v>
      </c>
    </row>
    <row r="190" spans="1:20" ht="22.5">
      <c r="A190" s="388"/>
      <c r="B190" s="389" t="s">
        <v>888</v>
      </c>
      <c r="C190" s="390">
        <f t="shared" si="26"/>
        <v>30</v>
      </c>
      <c r="D190" s="391" t="s">
        <v>881</v>
      </c>
      <c r="E190" s="404">
        <v>1</v>
      </c>
      <c r="F190" s="454">
        <v>45578500</v>
      </c>
      <c r="G190" s="424">
        <f t="shared" si="27"/>
        <v>45578500</v>
      </c>
      <c r="H190" s="409">
        <v>45026</v>
      </c>
      <c r="I190" s="422">
        <v>0</v>
      </c>
      <c r="J190" s="459">
        <v>0</v>
      </c>
      <c r="K190" s="423">
        <f t="shared" si="22"/>
        <v>0</v>
      </c>
      <c r="L190" s="422">
        <v>0</v>
      </c>
      <c r="M190" s="422">
        <v>0</v>
      </c>
      <c r="N190" s="423">
        <f t="shared" si="23"/>
        <v>0</v>
      </c>
      <c r="O190" s="397">
        <f t="shared" si="24"/>
        <v>1</v>
      </c>
      <c r="P190" s="424">
        <f t="shared" si="25"/>
        <v>45578500</v>
      </c>
      <c r="Q190" s="398"/>
      <c r="R190" s="398"/>
      <c r="S190" s="399"/>
      <c r="T190" s="460" t="s">
        <v>1657</v>
      </c>
    </row>
    <row r="191" spans="1:20" ht="22.5">
      <c r="A191" s="388"/>
      <c r="B191" s="389" t="s">
        <v>888</v>
      </c>
      <c r="C191" s="390">
        <f t="shared" si="26"/>
        <v>31</v>
      </c>
      <c r="D191" s="391" t="s">
        <v>881</v>
      </c>
      <c r="E191" s="404">
        <v>1</v>
      </c>
      <c r="F191" s="454">
        <v>30516500</v>
      </c>
      <c r="G191" s="424">
        <f t="shared" si="27"/>
        <v>30516500</v>
      </c>
      <c r="H191" s="409">
        <v>45026</v>
      </c>
      <c r="I191" s="422">
        <v>0</v>
      </c>
      <c r="J191" s="459">
        <v>0</v>
      </c>
      <c r="K191" s="423">
        <f t="shared" si="22"/>
        <v>0</v>
      </c>
      <c r="L191" s="422">
        <v>0</v>
      </c>
      <c r="M191" s="422">
        <v>0</v>
      </c>
      <c r="N191" s="423">
        <f t="shared" si="23"/>
        <v>0</v>
      </c>
      <c r="O191" s="397">
        <f t="shared" si="24"/>
        <v>1</v>
      </c>
      <c r="P191" s="424">
        <f t="shared" si="25"/>
        <v>30516500</v>
      </c>
      <c r="Q191" s="398"/>
      <c r="R191" s="398"/>
      <c r="S191" s="399"/>
      <c r="T191" s="460" t="s">
        <v>1658</v>
      </c>
    </row>
    <row r="192" spans="1:20" ht="22.5">
      <c r="A192" s="388"/>
      <c r="B192" s="389" t="s">
        <v>888</v>
      </c>
      <c r="C192" s="390">
        <f t="shared" si="26"/>
        <v>32</v>
      </c>
      <c r="D192" s="391" t="s">
        <v>881</v>
      </c>
      <c r="E192" s="404">
        <v>1</v>
      </c>
      <c r="F192" s="454">
        <v>56515500</v>
      </c>
      <c r="G192" s="424">
        <f t="shared" si="27"/>
        <v>56515500</v>
      </c>
      <c r="H192" s="409">
        <v>45026</v>
      </c>
      <c r="I192" s="422">
        <v>0</v>
      </c>
      <c r="J192" s="459">
        <v>0</v>
      </c>
      <c r="K192" s="423">
        <f t="shared" si="22"/>
        <v>0</v>
      </c>
      <c r="L192" s="422">
        <v>0</v>
      </c>
      <c r="M192" s="422">
        <v>0</v>
      </c>
      <c r="N192" s="423">
        <f t="shared" si="23"/>
        <v>0</v>
      </c>
      <c r="O192" s="397">
        <f t="shared" si="24"/>
        <v>1</v>
      </c>
      <c r="P192" s="424">
        <f t="shared" si="25"/>
        <v>56515500</v>
      </c>
      <c r="Q192" s="398"/>
      <c r="R192" s="398"/>
      <c r="S192" s="399"/>
      <c r="T192" s="460" t="s">
        <v>1659</v>
      </c>
    </row>
    <row r="193" spans="1:20" ht="22.5">
      <c r="A193" s="388"/>
      <c r="B193" s="442" t="s">
        <v>888</v>
      </c>
      <c r="C193" s="390">
        <f t="shared" si="26"/>
        <v>33</v>
      </c>
      <c r="D193" s="391" t="s">
        <v>881</v>
      </c>
      <c r="E193" s="404">
        <v>1</v>
      </c>
      <c r="F193" s="393">
        <v>39381500</v>
      </c>
      <c r="G193" s="424">
        <f t="shared" si="27"/>
        <v>39381500</v>
      </c>
      <c r="H193" s="409">
        <v>45026</v>
      </c>
      <c r="I193" s="422">
        <v>0</v>
      </c>
      <c r="J193" s="422">
        <v>0</v>
      </c>
      <c r="K193" s="423">
        <f t="shared" si="22"/>
        <v>0</v>
      </c>
      <c r="L193" s="422">
        <v>0</v>
      </c>
      <c r="M193" s="422">
        <v>0</v>
      </c>
      <c r="N193" s="423">
        <f t="shared" si="23"/>
        <v>0</v>
      </c>
      <c r="O193" s="397">
        <f t="shared" si="24"/>
        <v>1</v>
      </c>
      <c r="P193" s="424">
        <f t="shared" si="25"/>
        <v>39381500</v>
      </c>
      <c r="Q193" s="398"/>
      <c r="R193" s="398"/>
      <c r="S193" s="399"/>
      <c r="T193" s="400" t="s">
        <v>1660</v>
      </c>
    </row>
    <row r="194" spans="1:20" ht="22.5">
      <c r="A194" s="388"/>
      <c r="B194" s="442" t="s">
        <v>888</v>
      </c>
      <c r="C194" s="390">
        <f t="shared" si="26"/>
        <v>34</v>
      </c>
      <c r="D194" s="391" t="s">
        <v>881</v>
      </c>
      <c r="E194" s="404">
        <v>1</v>
      </c>
      <c r="F194" s="393">
        <v>49218500</v>
      </c>
      <c r="G194" s="424">
        <f t="shared" si="27"/>
        <v>49218500</v>
      </c>
      <c r="H194" s="409">
        <v>45026</v>
      </c>
      <c r="I194" s="422">
        <v>0</v>
      </c>
      <c r="J194" s="422">
        <v>0</v>
      </c>
      <c r="K194" s="423">
        <f t="shared" si="22"/>
        <v>0</v>
      </c>
      <c r="L194" s="422">
        <v>0</v>
      </c>
      <c r="M194" s="422">
        <v>0</v>
      </c>
      <c r="N194" s="423">
        <f t="shared" si="23"/>
        <v>0</v>
      </c>
      <c r="O194" s="397">
        <f t="shared" si="24"/>
        <v>1</v>
      </c>
      <c r="P194" s="424">
        <f t="shared" si="25"/>
        <v>49218500</v>
      </c>
      <c r="Q194" s="398"/>
      <c r="R194" s="398"/>
      <c r="S194" s="399"/>
      <c r="T194" s="400" t="s">
        <v>1661</v>
      </c>
    </row>
    <row r="195" spans="1:20">
      <c r="A195" s="388"/>
      <c r="B195" s="442" t="s">
        <v>886</v>
      </c>
      <c r="C195" s="390">
        <f t="shared" si="26"/>
        <v>35</v>
      </c>
      <c r="D195" s="391" t="s">
        <v>879</v>
      </c>
      <c r="E195" s="404">
        <v>1</v>
      </c>
      <c r="F195" s="393">
        <v>87199000</v>
      </c>
      <c r="G195" s="424">
        <f t="shared" si="27"/>
        <v>87199000</v>
      </c>
      <c r="H195" s="409">
        <v>45148</v>
      </c>
      <c r="I195" s="422">
        <v>0</v>
      </c>
      <c r="J195" s="422">
        <v>0</v>
      </c>
      <c r="K195" s="423">
        <f t="shared" si="22"/>
        <v>0</v>
      </c>
      <c r="L195" s="422">
        <v>0</v>
      </c>
      <c r="M195" s="422">
        <v>0</v>
      </c>
      <c r="N195" s="423">
        <f t="shared" si="23"/>
        <v>0</v>
      </c>
      <c r="O195" s="397">
        <f t="shared" si="24"/>
        <v>1</v>
      </c>
      <c r="P195" s="424">
        <f t="shared" si="25"/>
        <v>87199000</v>
      </c>
      <c r="Q195" s="398"/>
      <c r="R195" s="398"/>
      <c r="S195" s="399"/>
      <c r="T195" s="400" t="s">
        <v>1662</v>
      </c>
    </row>
    <row r="196" spans="1:20" ht="22.5">
      <c r="A196" s="388"/>
      <c r="B196" s="442" t="s">
        <v>885</v>
      </c>
      <c r="C196" s="390">
        <f t="shared" si="26"/>
        <v>36</v>
      </c>
      <c r="D196" s="391" t="s">
        <v>878</v>
      </c>
      <c r="E196" s="404">
        <v>1</v>
      </c>
      <c r="F196" s="393">
        <v>30152750</v>
      </c>
      <c r="G196" s="424">
        <f t="shared" si="27"/>
        <v>30152750</v>
      </c>
      <c r="H196" s="409">
        <v>45159</v>
      </c>
      <c r="I196" s="422">
        <v>0</v>
      </c>
      <c r="J196" s="422">
        <v>0</v>
      </c>
      <c r="K196" s="423">
        <f t="shared" si="22"/>
        <v>0</v>
      </c>
      <c r="L196" s="422">
        <v>0</v>
      </c>
      <c r="M196" s="422">
        <v>0</v>
      </c>
      <c r="N196" s="423">
        <f t="shared" si="23"/>
        <v>0</v>
      </c>
      <c r="O196" s="397">
        <f t="shared" si="24"/>
        <v>1</v>
      </c>
      <c r="P196" s="424">
        <f t="shared" si="25"/>
        <v>30152750</v>
      </c>
      <c r="Q196" s="398"/>
      <c r="R196" s="398"/>
      <c r="S196" s="399"/>
      <c r="T196" s="400" t="s">
        <v>1649</v>
      </c>
    </row>
    <row r="197" spans="1:20" ht="22.5">
      <c r="A197" s="388"/>
      <c r="B197" s="442" t="s">
        <v>885</v>
      </c>
      <c r="C197" s="390">
        <f t="shared" si="26"/>
        <v>37</v>
      </c>
      <c r="D197" s="391" t="s">
        <v>878</v>
      </c>
      <c r="E197" s="404">
        <v>1</v>
      </c>
      <c r="F197" s="393">
        <v>74215500</v>
      </c>
      <c r="G197" s="424">
        <f t="shared" si="27"/>
        <v>74215500</v>
      </c>
      <c r="H197" s="409">
        <v>45159</v>
      </c>
      <c r="I197" s="422">
        <v>0</v>
      </c>
      <c r="J197" s="422">
        <v>0</v>
      </c>
      <c r="K197" s="423">
        <f t="shared" si="22"/>
        <v>0</v>
      </c>
      <c r="L197" s="422">
        <v>0</v>
      </c>
      <c r="M197" s="422">
        <v>0</v>
      </c>
      <c r="N197" s="423">
        <f t="shared" si="23"/>
        <v>0</v>
      </c>
      <c r="O197" s="397">
        <f t="shared" si="24"/>
        <v>1</v>
      </c>
      <c r="P197" s="424">
        <f t="shared" si="25"/>
        <v>74215500</v>
      </c>
      <c r="Q197" s="398"/>
      <c r="R197" s="398"/>
      <c r="S197" s="399"/>
      <c r="T197" s="400" t="s">
        <v>1663</v>
      </c>
    </row>
    <row r="198" spans="1:20">
      <c r="A198" s="388"/>
      <c r="B198" s="442" t="s">
        <v>888</v>
      </c>
      <c r="C198" s="390">
        <f t="shared" si="26"/>
        <v>38</v>
      </c>
      <c r="D198" s="391" t="s">
        <v>881</v>
      </c>
      <c r="E198" s="404">
        <v>1</v>
      </c>
      <c r="F198" s="393">
        <v>79300000</v>
      </c>
      <c r="G198" s="424">
        <f t="shared" si="27"/>
        <v>79300000</v>
      </c>
      <c r="H198" s="409">
        <v>45276</v>
      </c>
      <c r="I198" s="422">
        <v>0</v>
      </c>
      <c r="J198" s="422">
        <v>0</v>
      </c>
      <c r="K198" s="423">
        <f t="shared" si="22"/>
        <v>0</v>
      </c>
      <c r="L198" s="422">
        <v>0</v>
      </c>
      <c r="M198" s="422">
        <v>0</v>
      </c>
      <c r="N198" s="423">
        <f t="shared" si="23"/>
        <v>0</v>
      </c>
      <c r="O198" s="397">
        <f t="shared" si="24"/>
        <v>1</v>
      </c>
      <c r="P198" s="424">
        <f t="shared" si="25"/>
        <v>79300000</v>
      </c>
      <c r="Q198" s="398"/>
      <c r="R198" s="398"/>
      <c r="S198" s="399"/>
      <c r="T198" s="400" t="s">
        <v>1664</v>
      </c>
    </row>
    <row r="199" spans="1:20">
      <c r="A199" s="388"/>
      <c r="B199" s="442" t="s">
        <v>888</v>
      </c>
      <c r="C199" s="390">
        <f t="shared" si="26"/>
        <v>39</v>
      </c>
      <c r="D199" s="391" t="s">
        <v>881</v>
      </c>
      <c r="E199" s="404">
        <v>1</v>
      </c>
      <c r="F199" s="393">
        <v>99237000</v>
      </c>
      <c r="G199" s="424">
        <f t="shared" si="27"/>
        <v>99237000</v>
      </c>
      <c r="H199" s="409">
        <v>45276</v>
      </c>
      <c r="I199" s="422">
        <v>0</v>
      </c>
      <c r="J199" s="422">
        <v>0</v>
      </c>
      <c r="K199" s="423">
        <f t="shared" si="22"/>
        <v>0</v>
      </c>
      <c r="L199" s="422">
        <v>0</v>
      </c>
      <c r="M199" s="422">
        <v>0</v>
      </c>
      <c r="N199" s="423">
        <f t="shared" si="23"/>
        <v>0</v>
      </c>
      <c r="O199" s="397">
        <f t="shared" si="24"/>
        <v>1</v>
      </c>
      <c r="P199" s="424">
        <f t="shared" si="25"/>
        <v>99237000</v>
      </c>
      <c r="Q199" s="398"/>
      <c r="R199" s="398"/>
      <c r="S199" s="399"/>
      <c r="T199" s="400" t="s">
        <v>1665</v>
      </c>
    </row>
    <row r="200" spans="1:20" ht="22.5">
      <c r="A200" s="388"/>
      <c r="B200" s="442" t="s">
        <v>888</v>
      </c>
      <c r="C200" s="390">
        <f t="shared" si="26"/>
        <v>40</v>
      </c>
      <c r="D200" s="391" t="s">
        <v>881</v>
      </c>
      <c r="E200" s="404">
        <v>1</v>
      </c>
      <c r="F200" s="393">
        <v>79799000</v>
      </c>
      <c r="G200" s="424">
        <f t="shared" si="27"/>
        <v>79799000</v>
      </c>
      <c r="H200" s="409">
        <v>45276</v>
      </c>
      <c r="I200" s="422">
        <v>0</v>
      </c>
      <c r="J200" s="422">
        <v>0</v>
      </c>
      <c r="K200" s="423">
        <f t="shared" si="22"/>
        <v>0</v>
      </c>
      <c r="L200" s="422">
        <v>0</v>
      </c>
      <c r="M200" s="422">
        <v>0</v>
      </c>
      <c r="N200" s="423">
        <f t="shared" si="23"/>
        <v>0</v>
      </c>
      <c r="O200" s="397">
        <f t="shared" si="24"/>
        <v>1</v>
      </c>
      <c r="P200" s="424">
        <f t="shared" si="25"/>
        <v>79799000</v>
      </c>
      <c r="Q200" s="398"/>
      <c r="R200" s="398"/>
      <c r="S200" s="399"/>
      <c r="T200" s="400" t="s">
        <v>1666</v>
      </c>
    </row>
    <row r="201" spans="1:20">
      <c r="A201" s="388"/>
      <c r="B201" s="442" t="s">
        <v>888</v>
      </c>
      <c r="C201" s="390">
        <f t="shared" si="26"/>
        <v>41</v>
      </c>
      <c r="D201" s="391" t="s">
        <v>881</v>
      </c>
      <c r="E201" s="404">
        <v>1</v>
      </c>
      <c r="F201" s="393">
        <v>79799000</v>
      </c>
      <c r="G201" s="424">
        <f t="shared" si="27"/>
        <v>79799000</v>
      </c>
      <c r="H201" s="409">
        <v>45276</v>
      </c>
      <c r="I201" s="422">
        <v>0</v>
      </c>
      <c r="J201" s="422">
        <v>0</v>
      </c>
      <c r="K201" s="423">
        <f t="shared" si="22"/>
        <v>0</v>
      </c>
      <c r="L201" s="422">
        <v>0</v>
      </c>
      <c r="M201" s="422">
        <v>0</v>
      </c>
      <c r="N201" s="423">
        <f t="shared" si="23"/>
        <v>0</v>
      </c>
      <c r="O201" s="397">
        <f t="shared" si="24"/>
        <v>1</v>
      </c>
      <c r="P201" s="424">
        <f t="shared" si="25"/>
        <v>79799000</v>
      </c>
      <c r="Q201" s="398"/>
      <c r="R201" s="398"/>
      <c r="S201" s="399"/>
      <c r="T201" s="400" t="s">
        <v>1667</v>
      </c>
    </row>
    <row r="202" spans="1:20" ht="22.5">
      <c r="A202" s="388"/>
      <c r="B202" s="442" t="s">
        <v>888</v>
      </c>
      <c r="C202" s="390">
        <f t="shared" si="26"/>
        <v>42</v>
      </c>
      <c r="D202" s="391" t="s">
        <v>881</v>
      </c>
      <c r="E202" s="404">
        <v>1</v>
      </c>
      <c r="F202" s="393">
        <v>79614000</v>
      </c>
      <c r="G202" s="424">
        <f t="shared" si="27"/>
        <v>79614000</v>
      </c>
      <c r="H202" s="409">
        <v>45257</v>
      </c>
      <c r="I202" s="422">
        <v>0</v>
      </c>
      <c r="J202" s="422">
        <v>0</v>
      </c>
      <c r="K202" s="423">
        <f t="shared" si="22"/>
        <v>0</v>
      </c>
      <c r="L202" s="422">
        <v>0</v>
      </c>
      <c r="M202" s="422">
        <v>0</v>
      </c>
      <c r="N202" s="423">
        <f t="shared" si="23"/>
        <v>0</v>
      </c>
      <c r="O202" s="397">
        <f t="shared" si="24"/>
        <v>1</v>
      </c>
      <c r="P202" s="424">
        <f t="shared" si="25"/>
        <v>79614000</v>
      </c>
      <c r="Q202" s="398"/>
      <c r="R202" s="398"/>
      <c r="S202" s="399"/>
      <c r="T202" s="400" t="s">
        <v>1668</v>
      </c>
    </row>
    <row r="203" spans="1:20" ht="33.75">
      <c r="A203" s="395"/>
      <c r="B203" s="458" t="s">
        <v>889</v>
      </c>
      <c r="C203" s="390">
        <f t="shared" si="26"/>
        <v>43</v>
      </c>
      <c r="D203" s="391" t="s">
        <v>882</v>
      </c>
      <c r="E203" s="404">
        <v>1</v>
      </c>
      <c r="F203" s="393">
        <v>2865700</v>
      </c>
      <c r="G203" s="424">
        <f t="shared" si="27"/>
        <v>2865700</v>
      </c>
      <c r="H203" s="409">
        <v>45478</v>
      </c>
      <c r="I203" s="422">
        <v>0</v>
      </c>
      <c r="J203" s="422">
        <v>0</v>
      </c>
      <c r="K203" s="423">
        <f t="shared" si="22"/>
        <v>0</v>
      </c>
      <c r="L203" s="422">
        <v>0</v>
      </c>
      <c r="M203" s="422">
        <v>0</v>
      </c>
      <c r="N203" s="423">
        <f t="shared" si="23"/>
        <v>0</v>
      </c>
      <c r="O203" s="397">
        <f t="shared" si="24"/>
        <v>1</v>
      </c>
      <c r="P203" s="424">
        <f t="shared" si="25"/>
        <v>2865700</v>
      </c>
      <c r="Q203" s="398"/>
      <c r="R203" s="398"/>
      <c r="S203" s="399"/>
      <c r="T203" s="400" t="s">
        <v>1669</v>
      </c>
    </row>
    <row r="204" spans="1:20" ht="22.5">
      <c r="A204" s="388"/>
      <c r="B204" s="442" t="s">
        <v>888</v>
      </c>
      <c r="C204" s="390">
        <f t="shared" si="26"/>
        <v>44</v>
      </c>
      <c r="D204" s="391" t="s">
        <v>881</v>
      </c>
      <c r="E204" s="404">
        <v>1</v>
      </c>
      <c r="F204" s="393">
        <v>36551000</v>
      </c>
      <c r="G204" s="424">
        <f t="shared" si="27"/>
        <v>36551000</v>
      </c>
      <c r="H204" s="409">
        <v>45616</v>
      </c>
      <c r="I204" s="422">
        <v>0</v>
      </c>
      <c r="J204" s="422">
        <v>0</v>
      </c>
      <c r="K204" s="423">
        <f t="shared" si="22"/>
        <v>0</v>
      </c>
      <c r="L204" s="422">
        <v>0</v>
      </c>
      <c r="M204" s="422">
        <v>0</v>
      </c>
      <c r="N204" s="423">
        <f t="shared" si="23"/>
        <v>0</v>
      </c>
      <c r="O204" s="397">
        <f t="shared" si="24"/>
        <v>1</v>
      </c>
      <c r="P204" s="424">
        <f t="shared" si="25"/>
        <v>36551000</v>
      </c>
      <c r="Q204" s="398"/>
      <c r="R204" s="398"/>
      <c r="S204" s="399"/>
      <c r="T204" s="400" t="s">
        <v>1658</v>
      </c>
    </row>
    <row r="205" spans="1:20" ht="22.5">
      <c r="A205" s="388"/>
      <c r="B205" s="442" t="s">
        <v>888</v>
      </c>
      <c r="C205" s="390">
        <f t="shared" si="26"/>
        <v>45</v>
      </c>
      <c r="D205" s="391" t="s">
        <v>881</v>
      </c>
      <c r="E205" s="404">
        <v>1</v>
      </c>
      <c r="F205" s="393">
        <v>114301000</v>
      </c>
      <c r="G205" s="424">
        <f t="shared" si="27"/>
        <v>114301000</v>
      </c>
      <c r="H205" s="409">
        <v>45616</v>
      </c>
      <c r="I205" s="422">
        <v>0</v>
      </c>
      <c r="J205" s="422">
        <v>0</v>
      </c>
      <c r="K205" s="423">
        <f t="shared" si="22"/>
        <v>0</v>
      </c>
      <c r="L205" s="422">
        <v>0</v>
      </c>
      <c r="M205" s="422">
        <v>0</v>
      </c>
      <c r="N205" s="423">
        <f t="shared" si="23"/>
        <v>0</v>
      </c>
      <c r="O205" s="397">
        <f t="shared" si="24"/>
        <v>1</v>
      </c>
      <c r="P205" s="424">
        <f t="shared" si="25"/>
        <v>114301000</v>
      </c>
      <c r="Q205" s="398"/>
      <c r="R205" s="398"/>
      <c r="S205" s="399"/>
      <c r="T205" s="400" t="s">
        <v>1670</v>
      </c>
    </row>
    <row r="206" spans="1:20" ht="22.5">
      <c r="A206" s="388"/>
      <c r="B206" s="442" t="s">
        <v>888</v>
      </c>
      <c r="C206" s="390">
        <f t="shared" si="26"/>
        <v>46</v>
      </c>
      <c r="D206" s="391" t="s">
        <v>881</v>
      </c>
      <c r="E206" s="404">
        <v>1</v>
      </c>
      <c r="F206" s="393">
        <v>54997000</v>
      </c>
      <c r="G206" s="424">
        <f t="shared" si="27"/>
        <v>54997000</v>
      </c>
      <c r="H206" s="409">
        <v>45616</v>
      </c>
      <c r="I206" s="422">
        <v>0</v>
      </c>
      <c r="J206" s="422">
        <v>0</v>
      </c>
      <c r="K206" s="423">
        <f t="shared" si="22"/>
        <v>0</v>
      </c>
      <c r="L206" s="422">
        <v>0</v>
      </c>
      <c r="M206" s="422">
        <v>0</v>
      </c>
      <c r="N206" s="423">
        <f t="shared" si="23"/>
        <v>0</v>
      </c>
      <c r="O206" s="397">
        <f t="shared" si="24"/>
        <v>1</v>
      </c>
      <c r="P206" s="424">
        <f t="shared" si="25"/>
        <v>54997000</v>
      </c>
      <c r="Q206" s="398"/>
      <c r="R206" s="398"/>
      <c r="S206" s="399"/>
      <c r="T206" s="400" t="s">
        <v>1671</v>
      </c>
    </row>
    <row r="207" spans="1:20" ht="22.5">
      <c r="A207" s="388"/>
      <c r="B207" s="442" t="s">
        <v>888</v>
      </c>
      <c r="C207" s="390">
        <f t="shared" si="26"/>
        <v>47</v>
      </c>
      <c r="D207" s="391" t="s">
        <v>881</v>
      </c>
      <c r="E207" s="404">
        <v>1</v>
      </c>
      <c r="F207" s="393">
        <v>87852000</v>
      </c>
      <c r="G207" s="424">
        <f t="shared" si="27"/>
        <v>87852000</v>
      </c>
      <c r="H207" s="409">
        <v>45616</v>
      </c>
      <c r="I207" s="422">
        <v>0</v>
      </c>
      <c r="J207" s="422">
        <v>0</v>
      </c>
      <c r="K207" s="423">
        <f t="shared" si="22"/>
        <v>0</v>
      </c>
      <c r="L207" s="422">
        <v>0</v>
      </c>
      <c r="M207" s="422">
        <v>0</v>
      </c>
      <c r="N207" s="423">
        <f t="shared" si="23"/>
        <v>0</v>
      </c>
      <c r="O207" s="397">
        <f t="shared" si="24"/>
        <v>1</v>
      </c>
      <c r="P207" s="424">
        <f t="shared" si="25"/>
        <v>87852000</v>
      </c>
      <c r="Q207" s="398"/>
      <c r="R207" s="398"/>
      <c r="S207" s="399"/>
      <c r="T207" s="400" t="s">
        <v>1672</v>
      </c>
    </row>
    <row r="208" spans="1:20" ht="22.5">
      <c r="A208" s="388"/>
      <c r="B208" s="442" t="s">
        <v>888</v>
      </c>
      <c r="C208" s="390">
        <f t="shared" si="26"/>
        <v>48</v>
      </c>
      <c r="D208" s="391" t="s">
        <v>881</v>
      </c>
      <c r="E208" s="404">
        <v>1</v>
      </c>
      <c r="F208" s="393">
        <v>14992000</v>
      </c>
      <c r="G208" s="424">
        <f t="shared" si="27"/>
        <v>14992000</v>
      </c>
      <c r="H208" s="409">
        <v>45583</v>
      </c>
      <c r="I208" s="422">
        <v>0</v>
      </c>
      <c r="J208" s="422">
        <v>0</v>
      </c>
      <c r="K208" s="423">
        <f t="shared" si="22"/>
        <v>0</v>
      </c>
      <c r="L208" s="422">
        <v>0</v>
      </c>
      <c r="M208" s="422">
        <v>0</v>
      </c>
      <c r="N208" s="423">
        <f t="shared" si="23"/>
        <v>0</v>
      </c>
      <c r="O208" s="397">
        <f t="shared" si="24"/>
        <v>1</v>
      </c>
      <c r="P208" s="424">
        <f t="shared" si="25"/>
        <v>14992000</v>
      </c>
      <c r="Q208" s="398"/>
      <c r="R208" s="398"/>
      <c r="S208" s="399"/>
      <c r="T208" s="400" t="s">
        <v>1673</v>
      </c>
    </row>
    <row r="209" spans="1:20">
      <c r="A209" s="388"/>
      <c r="B209" s="442" t="s">
        <v>886</v>
      </c>
      <c r="C209" s="390">
        <f t="shared" si="26"/>
        <v>49</v>
      </c>
      <c r="D209" s="391" t="s">
        <v>879</v>
      </c>
      <c r="E209" s="404">
        <v>1</v>
      </c>
      <c r="F209" s="393">
        <v>96680000</v>
      </c>
      <c r="G209" s="424">
        <f t="shared" si="27"/>
        <v>96680000</v>
      </c>
      <c r="H209" s="409">
        <v>45596</v>
      </c>
      <c r="I209" s="422">
        <v>0</v>
      </c>
      <c r="J209" s="422">
        <v>0</v>
      </c>
      <c r="K209" s="423">
        <f t="shared" si="22"/>
        <v>0</v>
      </c>
      <c r="L209" s="422">
        <v>0</v>
      </c>
      <c r="M209" s="422">
        <v>0</v>
      </c>
      <c r="N209" s="423">
        <f t="shared" si="23"/>
        <v>0</v>
      </c>
      <c r="O209" s="397">
        <f t="shared" si="24"/>
        <v>1</v>
      </c>
      <c r="P209" s="424">
        <f t="shared" si="25"/>
        <v>96680000</v>
      </c>
      <c r="Q209" s="398"/>
      <c r="R209" s="398"/>
      <c r="S209" s="399"/>
      <c r="T209" s="400" t="s">
        <v>1674</v>
      </c>
    </row>
    <row r="210" spans="1:20">
      <c r="A210" s="388"/>
      <c r="B210" s="442" t="s">
        <v>886</v>
      </c>
      <c r="C210" s="390">
        <f t="shared" si="26"/>
        <v>50</v>
      </c>
      <c r="D210" s="391" t="s">
        <v>879</v>
      </c>
      <c r="E210" s="404">
        <v>1</v>
      </c>
      <c r="F210" s="457">
        <v>46346000</v>
      </c>
      <c r="G210" s="424">
        <f t="shared" si="27"/>
        <v>46346000</v>
      </c>
      <c r="H210" s="409">
        <v>45596</v>
      </c>
      <c r="I210" s="422">
        <v>0</v>
      </c>
      <c r="J210" s="459">
        <v>0</v>
      </c>
      <c r="K210" s="423">
        <f t="shared" si="22"/>
        <v>0</v>
      </c>
      <c r="L210" s="422">
        <v>0</v>
      </c>
      <c r="M210" s="422">
        <v>0</v>
      </c>
      <c r="N210" s="423">
        <f t="shared" si="23"/>
        <v>0</v>
      </c>
      <c r="O210" s="397">
        <f t="shared" si="24"/>
        <v>1</v>
      </c>
      <c r="P210" s="424">
        <f t="shared" si="25"/>
        <v>46346000</v>
      </c>
      <c r="Q210" s="398"/>
      <c r="R210" s="398"/>
      <c r="S210" s="399"/>
      <c r="T210" s="460" t="s">
        <v>1675</v>
      </c>
    </row>
    <row r="211" spans="1:20">
      <c r="A211" s="388"/>
      <c r="B211" s="442" t="s">
        <v>886</v>
      </c>
      <c r="C211" s="390">
        <f t="shared" si="26"/>
        <v>51</v>
      </c>
      <c r="D211" s="391" t="s">
        <v>879</v>
      </c>
      <c r="E211" s="404">
        <v>1</v>
      </c>
      <c r="F211" s="457">
        <v>19659000</v>
      </c>
      <c r="G211" s="424">
        <f t="shared" si="27"/>
        <v>19659000</v>
      </c>
      <c r="H211" s="409">
        <v>45596</v>
      </c>
      <c r="I211" s="422">
        <v>0</v>
      </c>
      <c r="J211" s="459">
        <v>0</v>
      </c>
      <c r="K211" s="423">
        <f t="shared" si="22"/>
        <v>0</v>
      </c>
      <c r="L211" s="422">
        <v>0</v>
      </c>
      <c r="M211" s="422">
        <v>0</v>
      </c>
      <c r="N211" s="423">
        <f t="shared" si="23"/>
        <v>0</v>
      </c>
      <c r="O211" s="397">
        <f t="shared" si="24"/>
        <v>1</v>
      </c>
      <c r="P211" s="424">
        <f t="shared" si="25"/>
        <v>19659000</v>
      </c>
      <c r="Q211" s="398"/>
      <c r="R211" s="398"/>
      <c r="S211" s="399"/>
      <c r="T211" s="460" t="s">
        <v>1676</v>
      </c>
    </row>
    <row r="212" spans="1:20">
      <c r="A212" s="388"/>
      <c r="B212" s="389" t="s">
        <v>886</v>
      </c>
      <c r="C212" s="390">
        <f t="shared" si="26"/>
        <v>52</v>
      </c>
      <c r="D212" s="391" t="s">
        <v>879</v>
      </c>
      <c r="E212" s="404">
        <v>1</v>
      </c>
      <c r="F212" s="393">
        <v>14631000</v>
      </c>
      <c r="G212" s="424">
        <f t="shared" si="27"/>
        <v>14631000</v>
      </c>
      <c r="H212" s="409">
        <v>45596</v>
      </c>
      <c r="I212" s="422">
        <v>0</v>
      </c>
      <c r="J212" s="422">
        <v>0</v>
      </c>
      <c r="K212" s="423">
        <f t="shared" si="22"/>
        <v>0</v>
      </c>
      <c r="L212" s="422">
        <v>0</v>
      </c>
      <c r="M212" s="422">
        <v>0</v>
      </c>
      <c r="N212" s="423">
        <f t="shared" si="23"/>
        <v>0</v>
      </c>
      <c r="O212" s="397">
        <f t="shared" si="24"/>
        <v>1</v>
      </c>
      <c r="P212" s="424">
        <f t="shared" si="25"/>
        <v>14631000</v>
      </c>
      <c r="Q212" s="398"/>
      <c r="R212" s="398"/>
      <c r="S212" s="399"/>
      <c r="T212" s="400" t="s">
        <v>1677</v>
      </c>
    </row>
    <row r="213" spans="1:20" ht="22.5">
      <c r="A213" s="388"/>
      <c r="B213" s="442" t="s">
        <v>886</v>
      </c>
      <c r="C213" s="390">
        <f t="shared" si="26"/>
        <v>53</v>
      </c>
      <c r="D213" s="391" t="s">
        <v>879</v>
      </c>
      <c r="E213" s="404">
        <v>1</v>
      </c>
      <c r="F213" s="393">
        <v>17906000</v>
      </c>
      <c r="G213" s="424">
        <f t="shared" si="27"/>
        <v>17906000</v>
      </c>
      <c r="H213" s="409">
        <v>45596</v>
      </c>
      <c r="I213" s="422">
        <v>0</v>
      </c>
      <c r="J213" s="422">
        <v>0</v>
      </c>
      <c r="K213" s="423">
        <f t="shared" si="22"/>
        <v>0</v>
      </c>
      <c r="L213" s="422">
        <v>0</v>
      </c>
      <c r="M213" s="422">
        <v>0</v>
      </c>
      <c r="N213" s="423">
        <f t="shared" si="23"/>
        <v>0</v>
      </c>
      <c r="O213" s="397">
        <f t="shared" si="24"/>
        <v>1</v>
      </c>
      <c r="P213" s="424">
        <f t="shared" si="25"/>
        <v>17906000</v>
      </c>
      <c r="Q213" s="398"/>
      <c r="R213" s="398"/>
      <c r="S213" s="399"/>
      <c r="T213" s="400" t="s">
        <v>1678</v>
      </c>
    </row>
    <row r="214" spans="1:20">
      <c r="A214" s="388"/>
      <c r="B214" s="442" t="s">
        <v>884</v>
      </c>
      <c r="C214" s="390">
        <f t="shared" si="26"/>
        <v>54</v>
      </c>
      <c r="D214" s="391" t="s">
        <v>877</v>
      </c>
      <c r="E214" s="404">
        <v>1</v>
      </c>
      <c r="F214" s="393">
        <v>14860000</v>
      </c>
      <c r="G214" s="424">
        <f t="shared" si="27"/>
        <v>14860000</v>
      </c>
      <c r="H214" s="409">
        <v>45596</v>
      </c>
      <c r="I214" s="422">
        <v>0</v>
      </c>
      <c r="J214" s="422">
        <v>0</v>
      </c>
      <c r="K214" s="423">
        <f t="shared" si="22"/>
        <v>0</v>
      </c>
      <c r="L214" s="422">
        <v>0</v>
      </c>
      <c r="M214" s="422">
        <v>0</v>
      </c>
      <c r="N214" s="423">
        <f t="shared" si="23"/>
        <v>0</v>
      </c>
      <c r="O214" s="397">
        <f t="shared" si="24"/>
        <v>1</v>
      </c>
      <c r="P214" s="424">
        <f t="shared" si="25"/>
        <v>14860000</v>
      </c>
      <c r="Q214" s="398"/>
      <c r="R214" s="398"/>
      <c r="S214" s="399"/>
      <c r="T214" s="400" t="s">
        <v>1679</v>
      </c>
    </row>
    <row r="215" spans="1:20" ht="22.5">
      <c r="A215" s="388"/>
      <c r="B215" s="442" t="s">
        <v>885</v>
      </c>
      <c r="C215" s="390">
        <f t="shared" si="26"/>
        <v>55</v>
      </c>
      <c r="D215" s="391" t="s">
        <v>878</v>
      </c>
      <c r="E215" s="404">
        <v>1</v>
      </c>
      <c r="F215" s="393">
        <v>42885000</v>
      </c>
      <c r="G215" s="424">
        <f t="shared" si="27"/>
        <v>42885000</v>
      </c>
      <c r="H215" s="409">
        <v>45653</v>
      </c>
      <c r="I215" s="422">
        <v>0</v>
      </c>
      <c r="J215" s="422">
        <v>0</v>
      </c>
      <c r="K215" s="423">
        <f t="shared" si="22"/>
        <v>0</v>
      </c>
      <c r="L215" s="422">
        <v>0</v>
      </c>
      <c r="M215" s="422">
        <v>0</v>
      </c>
      <c r="N215" s="423">
        <f t="shared" si="23"/>
        <v>0</v>
      </c>
      <c r="O215" s="397">
        <f t="shared" si="24"/>
        <v>1</v>
      </c>
      <c r="P215" s="424">
        <f t="shared" si="25"/>
        <v>42885000</v>
      </c>
      <c r="Q215" s="398"/>
      <c r="R215" s="398"/>
      <c r="S215" s="399"/>
      <c r="T215" s="400" t="s">
        <v>1680</v>
      </c>
    </row>
    <row r="216" spans="1:20">
      <c r="A216" s="388"/>
      <c r="B216" s="442" t="s">
        <v>886</v>
      </c>
      <c r="C216" s="390">
        <f t="shared" si="26"/>
        <v>56</v>
      </c>
      <c r="D216" s="391" t="s">
        <v>879</v>
      </c>
      <c r="E216" s="404"/>
      <c r="F216" s="393"/>
      <c r="G216" s="461"/>
      <c r="H216" s="409">
        <v>45896</v>
      </c>
      <c r="I216" s="422">
        <v>1</v>
      </c>
      <c r="J216" s="422">
        <v>37736000</v>
      </c>
      <c r="K216" s="423">
        <f t="shared" si="22"/>
        <v>37736000</v>
      </c>
      <c r="L216" s="422">
        <v>0</v>
      </c>
      <c r="M216" s="422">
        <v>0</v>
      </c>
      <c r="N216" s="423">
        <f t="shared" si="23"/>
        <v>0</v>
      </c>
      <c r="O216" s="397">
        <f t="shared" si="24"/>
        <v>1</v>
      </c>
      <c r="P216" s="424">
        <f t="shared" si="25"/>
        <v>37736000</v>
      </c>
      <c r="Q216" s="398">
        <f>P216</f>
        <v>37736000</v>
      </c>
      <c r="R216" s="398"/>
      <c r="S216" s="399"/>
      <c r="T216" s="400" t="s">
        <v>1681</v>
      </c>
    </row>
    <row r="217" spans="1:20" ht="67.5">
      <c r="A217" s="388"/>
      <c r="B217" s="442" t="s">
        <v>889</v>
      </c>
      <c r="C217" s="390">
        <f t="shared" si="26"/>
        <v>57</v>
      </c>
      <c r="D217" s="391" t="s">
        <v>882</v>
      </c>
      <c r="E217" s="404"/>
      <c r="F217" s="457"/>
      <c r="G217" s="461"/>
      <c r="H217" s="409">
        <v>45989</v>
      </c>
      <c r="I217" s="422">
        <v>1</v>
      </c>
      <c r="J217" s="462">
        <v>4500000</v>
      </c>
      <c r="K217" s="423">
        <f t="shared" si="22"/>
        <v>4500000</v>
      </c>
      <c r="L217" s="422">
        <v>0</v>
      </c>
      <c r="M217" s="422">
        <v>0</v>
      </c>
      <c r="N217" s="423">
        <f t="shared" si="23"/>
        <v>0</v>
      </c>
      <c r="O217" s="397">
        <f t="shared" si="24"/>
        <v>1</v>
      </c>
      <c r="P217" s="424">
        <f t="shared" si="25"/>
        <v>4500000</v>
      </c>
      <c r="Q217" s="398"/>
      <c r="R217" s="398"/>
      <c r="S217" s="398">
        <v>4500000</v>
      </c>
      <c r="T217" s="460" t="s">
        <v>1682</v>
      </c>
    </row>
    <row r="218" spans="1:20" ht="67.5">
      <c r="A218" s="388"/>
      <c r="B218" s="442" t="s">
        <v>890</v>
      </c>
      <c r="C218" s="390">
        <f t="shared" si="26"/>
        <v>58</v>
      </c>
      <c r="D218" s="391" t="s">
        <v>883</v>
      </c>
      <c r="E218" s="404"/>
      <c r="F218" s="457"/>
      <c r="G218" s="461"/>
      <c r="H218" s="409">
        <v>45989</v>
      </c>
      <c r="I218" s="422">
        <v>1</v>
      </c>
      <c r="J218" s="462">
        <v>3500000</v>
      </c>
      <c r="K218" s="423">
        <f t="shared" si="22"/>
        <v>3500000</v>
      </c>
      <c r="L218" s="422">
        <v>0</v>
      </c>
      <c r="M218" s="422">
        <v>0</v>
      </c>
      <c r="N218" s="423">
        <f t="shared" si="23"/>
        <v>0</v>
      </c>
      <c r="O218" s="397">
        <f t="shared" si="24"/>
        <v>1</v>
      </c>
      <c r="P218" s="424">
        <f t="shared" si="25"/>
        <v>3500000</v>
      </c>
      <c r="Q218" s="398"/>
      <c r="R218" s="398"/>
      <c r="S218" s="398">
        <v>3500000</v>
      </c>
      <c r="T218" s="460" t="s">
        <v>1683</v>
      </c>
    </row>
    <row r="219" spans="1:20" ht="13.7" customHeight="1">
      <c r="A219" s="369"/>
      <c r="B219" s="463"/>
      <c r="C219" s="390"/>
      <c r="D219" s="362"/>
      <c r="E219" s="464"/>
      <c r="F219" s="363"/>
      <c r="G219" s="367"/>
      <c r="H219" s="359"/>
      <c r="I219" s="465"/>
      <c r="J219" s="465"/>
      <c r="K219" s="466"/>
      <c r="L219" s="465"/>
      <c r="M219" s="465"/>
      <c r="N219" s="467"/>
      <c r="O219" s="465"/>
      <c r="P219" s="468"/>
      <c r="Q219" s="468"/>
      <c r="R219" s="468"/>
      <c r="S219" s="469"/>
      <c r="T219" s="367"/>
    </row>
    <row r="220" spans="1:20" s="349" customFormat="1" ht="13.7" customHeight="1">
      <c r="A220" s="370">
        <v>5</v>
      </c>
      <c r="B220" s="371"/>
      <c r="C220" s="372" t="s">
        <v>457</v>
      </c>
      <c r="D220" s="373"/>
      <c r="E220" s="432"/>
      <c r="F220" s="374"/>
      <c r="G220" s="435">
        <f>SUM(G221:G223)</f>
        <v>44270410</v>
      </c>
      <c r="H220" s="470"/>
      <c r="I220" s="376">
        <f>SUM(I221:I225)</f>
        <v>1</v>
      </c>
      <c r="J220" s="435"/>
      <c r="K220" s="435">
        <f t="shared" ref="K220:S220" si="28">SUM(K221:K225)</f>
        <v>4358000</v>
      </c>
      <c r="L220" s="435">
        <f>L221</f>
        <v>0</v>
      </c>
      <c r="M220" s="435"/>
      <c r="N220" s="435">
        <f>N221</f>
        <v>0</v>
      </c>
      <c r="O220" s="435">
        <f t="shared" si="28"/>
        <v>63</v>
      </c>
      <c r="P220" s="435">
        <f t="shared" si="28"/>
        <v>48628410</v>
      </c>
      <c r="Q220" s="435">
        <f t="shared" si="28"/>
        <v>0</v>
      </c>
      <c r="R220" s="435">
        <f t="shared" si="28"/>
        <v>4358000</v>
      </c>
      <c r="S220" s="435">
        <f t="shared" si="28"/>
        <v>0</v>
      </c>
      <c r="T220" s="377"/>
    </row>
    <row r="221" spans="1:20" ht="33.75">
      <c r="A221" s="350"/>
      <c r="B221" s="378" t="s">
        <v>940</v>
      </c>
      <c r="C221" s="352">
        <v>1</v>
      </c>
      <c r="D221" s="379" t="s">
        <v>938</v>
      </c>
      <c r="E221" s="471">
        <v>1</v>
      </c>
      <c r="F221" s="471">
        <v>5122410</v>
      </c>
      <c r="G221" s="472">
        <f t="shared" ref="G221:G223" si="29">E221*F221</f>
        <v>5122410</v>
      </c>
      <c r="H221" s="356">
        <v>2009</v>
      </c>
      <c r="I221" s="473">
        <v>0</v>
      </c>
      <c r="J221" s="473">
        <v>0</v>
      </c>
      <c r="K221" s="474">
        <v>0</v>
      </c>
      <c r="L221" s="473">
        <v>0</v>
      </c>
      <c r="M221" s="473">
        <v>0</v>
      </c>
      <c r="N221" s="475">
        <v>0</v>
      </c>
      <c r="O221" s="397">
        <f t="shared" ref="O221:O224" si="30">E221+I221-L221</f>
        <v>1</v>
      </c>
      <c r="P221" s="424">
        <f t="shared" ref="P221:P224" si="31">G221+K221-N221</f>
        <v>5122410</v>
      </c>
      <c r="Q221" s="398"/>
      <c r="R221" s="386"/>
      <c r="S221" s="357"/>
      <c r="T221" s="387" t="s">
        <v>1684</v>
      </c>
    </row>
    <row r="222" spans="1:20" ht="33.75">
      <c r="A222" s="476"/>
      <c r="B222" s="477" t="s">
        <v>662</v>
      </c>
      <c r="C222" s="478">
        <f t="shared" ref="C222:C224" si="32">C221+1</f>
        <v>2</v>
      </c>
      <c r="D222" s="479" t="s">
        <v>604</v>
      </c>
      <c r="E222" s="480">
        <v>1</v>
      </c>
      <c r="F222" s="480">
        <v>1235000</v>
      </c>
      <c r="G222" s="481">
        <f t="shared" si="29"/>
        <v>1235000</v>
      </c>
      <c r="H222" s="482">
        <v>2021</v>
      </c>
      <c r="I222" s="483">
        <v>0</v>
      </c>
      <c r="J222" s="483">
        <v>0</v>
      </c>
      <c r="K222" s="484">
        <f>I222*J222</f>
        <v>0</v>
      </c>
      <c r="L222" s="483">
        <v>0</v>
      </c>
      <c r="M222" s="483">
        <v>0</v>
      </c>
      <c r="N222" s="485">
        <v>0</v>
      </c>
      <c r="O222" s="397">
        <f t="shared" si="30"/>
        <v>1</v>
      </c>
      <c r="P222" s="424">
        <f t="shared" si="31"/>
        <v>1235000</v>
      </c>
      <c r="Q222" s="398"/>
      <c r="R222" s="424"/>
      <c r="S222" s="397"/>
      <c r="T222" s="486" t="s">
        <v>1685</v>
      </c>
    </row>
    <row r="223" spans="1:20">
      <c r="A223" s="476"/>
      <c r="B223" s="477" t="s">
        <v>941</v>
      </c>
      <c r="C223" s="478">
        <f t="shared" si="32"/>
        <v>3</v>
      </c>
      <c r="D223" s="479" t="s">
        <v>939</v>
      </c>
      <c r="E223" s="480">
        <v>60</v>
      </c>
      <c r="F223" s="480">
        <f>37913000/60</f>
        <v>631883.33333333337</v>
      </c>
      <c r="G223" s="481">
        <f t="shared" si="29"/>
        <v>37913000</v>
      </c>
      <c r="H223" s="482">
        <v>2024</v>
      </c>
      <c r="I223" s="483">
        <v>0</v>
      </c>
      <c r="J223" s="483">
        <v>0</v>
      </c>
      <c r="K223" s="484">
        <f>I223*J223</f>
        <v>0</v>
      </c>
      <c r="L223" s="483">
        <v>0</v>
      </c>
      <c r="M223" s="483">
        <v>0</v>
      </c>
      <c r="N223" s="485">
        <v>0</v>
      </c>
      <c r="O223" s="397">
        <f t="shared" si="30"/>
        <v>60</v>
      </c>
      <c r="P223" s="424">
        <f t="shared" si="31"/>
        <v>37913000</v>
      </c>
      <c r="Q223" s="398"/>
      <c r="R223" s="424"/>
      <c r="S223" s="397"/>
      <c r="T223" s="486" t="s">
        <v>1686</v>
      </c>
    </row>
    <row r="224" spans="1:20" ht="33.75">
      <c r="A224" s="388"/>
      <c r="B224" s="487" t="s">
        <v>940</v>
      </c>
      <c r="C224" s="478">
        <f t="shared" si="32"/>
        <v>4</v>
      </c>
      <c r="D224" s="488" t="s">
        <v>938</v>
      </c>
      <c r="E224" s="480"/>
      <c r="F224" s="480"/>
      <c r="G224" s="481"/>
      <c r="H224" s="395">
        <v>2024</v>
      </c>
      <c r="I224" s="446">
        <v>1</v>
      </c>
      <c r="J224" s="446">
        <v>4358000</v>
      </c>
      <c r="K224" s="447">
        <v>4358000</v>
      </c>
      <c r="L224" s="483">
        <v>0</v>
      </c>
      <c r="M224" s="483">
        <v>0</v>
      </c>
      <c r="N224" s="485">
        <v>0</v>
      </c>
      <c r="O224" s="397">
        <f t="shared" si="30"/>
        <v>1</v>
      </c>
      <c r="P224" s="424">
        <f t="shared" si="31"/>
        <v>4358000</v>
      </c>
      <c r="Q224" s="398"/>
      <c r="R224" s="424">
        <f t="shared" ref="R224" si="33">P224</f>
        <v>4358000</v>
      </c>
      <c r="S224" s="397"/>
      <c r="T224" s="400" t="s">
        <v>1684</v>
      </c>
    </row>
    <row r="225" spans="1:20" ht="13.7" customHeight="1" thickBot="1">
      <c r="A225" s="489"/>
      <c r="B225" s="490"/>
      <c r="C225" s="491"/>
      <c r="D225" s="492"/>
      <c r="E225" s="493"/>
      <c r="F225" s="494"/>
      <c r="G225" s="495"/>
      <c r="H225" s="496"/>
      <c r="I225" s="497"/>
      <c r="J225" s="497"/>
      <c r="K225" s="498"/>
      <c r="L225" s="497"/>
      <c r="M225" s="497"/>
      <c r="N225" s="499"/>
      <c r="O225" s="500"/>
      <c r="P225" s="495"/>
      <c r="Q225" s="495"/>
      <c r="R225" s="495"/>
      <c r="S225" s="500"/>
      <c r="T225" s="501"/>
    </row>
    <row r="226" spans="1:20" ht="17.649999999999999" customHeight="1" thickTop="1">
      <c r="A226" s="326"/>
      <c r="B226" s="502"/>
      <c r="C226" s="707" t="s">
        <v>394</v>
      </c>
      <c r="D226" s="708"/>
      <c r="E226" s="503"/>
      <c r="F226" s="345"/>
      <c r="G226" s="504">
        <f>G220+G160+G128+G14</f>
        <v>8535644763</v>
      </c>
      <c r="H226" s="505"/>
      <c r="I226" s="347">
        <f>I220+I160+I128+I14</f>
        <v>47</v>
      </c>
      <c r="J226" s="347"/>
      <c r="K226" s="346"/>
      <c r="L226" s="347">
        <f>L220+L160+L128+L14</f>
        <v>0</v>
      </c>
      <c r="M226" s="347"/>
      <c r="N226" s="504">
        <f t="shared" ref="N226:S226" si="34">N220+N160+N128+N14</f>
        <v>0</v>
      </c>
      <c r="O226" s="347">
        <f t="shared" si="34"/>
        <v>529</v>
      </c>
      <c r="P226" s="504">
        <f t="shared" si="34"/>
        <v>9336525263</v>
      </c>
      <c r="Q226" s="504">
        <f t="shared" si="34"/>
        <v>468284000</v>
      </c>
      <c r="R226" s="504">
        <f t="shared" si="34"/>
        <v>4358000</v>
      </c>
      <c r="S226" s="504">
        <f t="shared" si="34"/>
        <v>328238500</v>
      </c>
      <c r="T226" s="346">
        <f>SUM(Q226:S226)</f>
        <v>800880500</v>
      </c>
    </row>
    <row r="227" spans="1:20" ht="7.5" customHeight="1">
      <c r="A227" s="318"/>
      <c r="B227" s="318"/>
      <c r="C227" s="318"/>
      <c r="D227" s="318"/>
      <c r="E227" s="506"/>
      <c r="F227" s="318"/>
      <c r="G227" s="507"/>
      <c r="H227" s="508"/>
      <c r="I227" s="509"/>
      <c r="J227" s="509"/>
      <c r="K227" s="507"/>
      <c r="L227" s="509"/>
      <c r="M227" s="509"/>
      <c r="N227" s="507"/>
      <c r="O227" s="509"/>
      <c r="P227" s="507"/>
      <c r="Q227" s="507"/>
      <c r="R227" s="507"/>
      <c r="S227" s="507"/>
      <c r="T227" s="507"/>
    </row>
    <row r="228" spans="1:20">
      <c r="E228" s="512"/>
      <c r="I228" s="515" t="s">
        <v>458</v>
      </c>
      <c r="N228" s="709"/>
      <c r="O228" s="709"/>
      <c r="P228" s="518"/>
      <c r="Q228" s="518"/>
    </row>
    <row r="229" spans="1:20">
      <c r="E229" s="512"/>
      <c r="N229" s="517"/>
      <c r="O229" s="517"/>
      <c r="P229" s="518"/>
      <c r="Q229" s="518"/>
    </row>
    <row r="230" spans="1:20" s="349" customFormat="1" ht="12" customHeight="1">
      <c r="A230" s="519"/>
      <c r="B230" s="519"/>
      <c r="C230" s="520"/>
      <c r="D230" s="521"/>
      <c r="E230" s="506"/>
      <c r="F230" s="318"/>
      <c r="G230" s="522"/>
      <c r="H230" s="523"/>
      <c r="I230" s="524"/>
      <c r="J230" s="524"/>
      <c r="K230" s="522"/>
      <c r="L230" s="524"/>
      <c r="M230" s="524"/>
      <c r="N230" s="525"/>
      <c r="O230" s="526"/>
      <c r="P230" s="525"/>
      <c r="Q230" s="527"/>
      <c r="R230" s="525"/>
      <c r="S230" s="519"/>
    </row>
    <row r="231" spans="1:20" ht="12" customHeight="1">
      <c r="C231" s="311"/>
      <c r="D231" s="312"/>
      <c r="E231" s="528"/>
      <c r="F231" s="310"/>
      <c r="G231" s="529"/>
      <c r="H231" s="530"/>
      <c r="I231" s="531"/>
      <c r="J231" s="531"/>
      <c r="K231" s="529"/>
      <c r="L231" s="531"/>
      <c r="M231" s="531"/>
      <c r="S231" s="510" t="s">
        <v>945</v>
      </c>
    </row>
    <row r="232" spans="1:20" ht="12" customHeight="1">
      <c r="C232" s="311"/>
      <c r="D232" s="312"/>
      <c r="E232" s="528"/>
      <c r="F232" s="310"/>
      <c r="G232" s="529"/>
      <c r="H232" s="530"/>
      <c r="I232" s="531"/>
      <c r="J232" s="531"/>
      <c r="K232" s="529"/>
      <c r="L232" s="531"/>
      <c r="M232" s="531"/>
      <c r="S232" s="510" t="s">
        <v>459</v>
      </c>
    </row>
    <row r="233" spans="1:20" s="349" customFormat="1" ht="12" customHeight="1">
      <c r="A233" s="519"/>
      <c r="B233" s="519"/>
      <c r="C233" s="520"/>
      <c r="D233" s="521"/>
      <c r="E233" s="506"/>
      <c r="F233" s="318"/>
      <c r="G233" s="522"/>
      <c r="H233" s="523"/>
      <c r="I233" s="524"/>
      <c r="J233" s="524"/>
      <c r="K233" s="522"/>
      <c r="L233" s="524"/>
      <c r="M233" s="524"/>
      <c r="N233" s="525"/>
      <c r="O233" s="526"/>
      <c r="P233" s="525"/>
      <c r="Q233" s="525"/>
      <c r="R233" s="525"/>
      <c r="S233" s="519"/>
    </row>
    <row r="234" spans="1:20" ht="12" customHeight="1">
      <c r="C234" s="311"/>
      <c r="D234" s="312"/>
      <c r="E234" s="528"/>
      <c r="F234" s="310"/>
      <c r="G234" s="529"/>
      <c r="H234" s="530"/>
      <c r="I234" s="531"/>
      <c r="J234" s="531"/>
      <c r="K234" s="529"/>
      <c r="L234" s="531"/>
      <c r="M234" s="531"/>
    </row>
    <row r="235" spans="1:20" ht="12" customHeight="1">
      <c r="C235" s="311"/>
      <c r="D235" s="312"/>
      <c r="E235" s="528"/>
      <c r="F235" s="310"/>
      <c r="G235" s="529"/>
      <c r="H235" s="530"/>
      <c r="I235" s="531"/>
      <c r="J235" s="531"/>
      <c r="K235" s="529"/>
      <c r="L235" s="531"/>
      <c r="M235" s="531"/>
    </row>
    <row r="236" spans="1:20" ht="12" customHeight="1">
      <c r="C236" s="311"/>
      <c r="D236" s="312"/>
      <c r="E236" s="528"/>
      <c r="F236" s="310"/>
      <c r="G236" s="529"/>
      <c r="H236" s="530"/>
      <c r="I236" s="531"/>
      <c r="J236" s="531"/>
      <c r="K236" s="529"/>
      <c r="L236" s="531"/>
      <c r="M236" s="531"/>
    </row>
    <row r="237" spans="1:20" ht="12" customHeight="1">
      <c r="C237" s="311"/>
      <c r="D237" s="312"/>
      <c r="E237" s="528"/>
      <c r="F237" s="310"/>
      <c r="G237" s="529"/>
      <c r="H237" s="530"/>
      <c r="I237" s="531"/>
      <c r="J237" s="531"/>
      <c r="K237" s="529"/>
      <c r="L237" s="531"/>
      <c r="M237" s="531"/>
      <c r="S237" s="519" t="s">
        <v>560</v>
      </c>
      <c r="T237" s="349"/>
    </row>
    <row r="238" spans="1:20" ht="12" customHeight="1">
      <c r="C238" s="311"/>
      <c r="D238" s="312"/>
      <c r="E238" s="528"/>
      <c r="F238" s="310"/>
      <c r="G238" s="529"/>
      <c r="H238" s="530"/>
      <c r="I238" s="531"/>
      <c r="J238" s="531"/>
      <c r="K238" s="529"/>
      <c r="L238" s="531"/>
      <c r="M238" s="531"/>
    </row>
    <row r="239" spans="1:20" s="349" customFormat="1" ht="12" customHeight="1">
      <c r="A239" s="519"/>
      <c r="B239" s="519"/>
      <c r="C239" s="520"/>
      <c r="D239" s="521"/>
      <c r="E239" s="506"/>
      <c r="F239" s="318"/>
      <c r="G239" s="522"/>
      <c r="H239" s="523"/>
      <c r="I239" s="524"/>
      <c r="J239" s="524"/>
      <c r="K239" s="522"/>
      <c r="L239" s="524"/>
      <c r="M239" s="524"/>
      <c r="N239" s="525"/>
      <c r="O239" s="526"/>
      <c r="P239" s="525"/>
      <c r="Q239" s="525"/>
      <c r="R239" s="525"/>
      <c r="S239" s="519"/>
    </row>
    <row r="240" spans="1:20" ht="12" customHeight="1">
      <c r="C240" s="311"/>
      <c r="D240" s="312"/>
      <c r="E240" s="528"/>
      <c r="F240" s="310"/>
      <c r="G240" s="529"/>
      <c r="H240" s="530"/>
      <c r="I240" s="531"/>
      <c r="J240" s="531"/>
      <c r="K240" s="529"/>
      <c r="L240" s="531"/>
      <c r="M240" s="531"/>
    </row>
    <row r="241" spans="1:19" ht="12" customHeight="1">
      <c r="C241" s="311"/>
      <c r="D241" s="312"/>
      <c r="E241" s="528"/>
      <c r="F241" s="310"/>
      <c r="G241" s="529"/>
      <c r="H241" s="530"/>
      <c r="I241" s="531"/>
      <c r="J241" s="531"/>
      <c r="K241" s="529"/>
      <c r="L241" s="531"/>
      <c r="M241" s="531"/>
    </row>
    <row r="242" spans="1:19" s="349" customFormat="1" ht="12" customHeight="1">
      <c r="A242" s="519"/>
      <c r="B242" s="519"/>
      <c r="C242" s="520"/>
      <c r="D242" s="521"/>
      <c r="E242" s="506"/>
      <c r="F242" s="318"/>
      <c r="G242" s="522"/>
      <c r="H242" s="523"/>
      <c r="I242" s="524"/>
      <c r="J242" s="524"/>
      <c r="K242" s="522"/>
      <c r="L242" s="524"/>
      <c r="M242" s="524"/>
      <c r="N242" s="525"/>
      <c r="O242" s="526"/>
      <c r="P242" s="525"/>
      <c r="Q242" s="525"/>
      <c r="R242" s="525"/>
      <c r="S242" s="519"/>
    </row>
    <row r="243" spans="1:19" ht="12" customHeight="1">
      <c r="C243" s="311"/>
      <c r="D243" s="312"/>
      <c r="E243" s="528"/>
      <c r="F243" s="310"/>
      <c r="G243" s="529"/>
      <c r="H243" s="530"/>
      <c r="I243" s="531"/>
      <c r="J243" s="531"/>
      <c r="K243" s="529"/>
      <c r="L243" s="531"/>
      <c r="M243" s="531"/>
    </row>
    <row r="244" spans="1:19" ht="12" customHeight="1">
      <c r="C244" s="311"/>
      <c r="D244" s="312"/>
      <c r="E244" s="528"/>
      <c r="F244" s="310"/>
      <c r="G244" s="529"/>
      <c r="H244" s="530"/>
      <c r="I244" s="531"/>
      <c r="J244" s="531"/>
      <c r="K244" s="529"/>
      <c r="L244" s="531"/>
      <c r="M244" s="531"/>
    </row>
    <row r="245" spans="1:19" ht="13.9" customHeight="1">
      <c r="C245" s="710"/>
      <c r="D245" s="710"/>
      <c r="E245" s="506"/>
      <c r="F245" s="532"/>
      <c r="G245" s="522"/>
      <c r="H245" s="533"/>
      <c r="I245" s="524"/>
      <c r="J245" s="524"/>
      <c r="K245" s="522"/>
      <c r="L245" s="524"/>
      <c r="M245" s="524"/>
    </row>
    <row r="246" spans="1:19">
      <c r="C246" s="311"/>
      <c r="D246" s="312"/>
      <c r="E246" s="528"/>
      <c r="F246" s="310"/>
      <c r="G246" s="313"/>
      <c r="H246" s="314"/>
      <c r="I246" s="315"/>
      <c r="J246" s="315"/>
      <c r="K246" s="313"/>
      <c r="L246" s="315"/>
      <c r="M246" s="315"/>
    </row>
    <row r="247" spans="1:19">
      <c r="E247" s="512"/>
    </row>
    <row r="248" spans="1:19">
      <c r="E248" s="512"/>
    </row>
    <row r="249" spans="1:19">
      <c r="E249" s="512"/>
    </row>
    <row r="250" spans="1:19">
      <c r="E250" s="512"/>
    </row>
    <row r="251" spans="1:19">
      <c r="E251" s="512"/>
    </row>
    <row r="252" spans="1:19">
      <c r="E252" s="512"/>
    </row>
    <row r="253" spans="1:19">
      <c r="E253" s="512"/>
    </row>
    <row r="254" spans="1:19">
      <c r="E254" s="512"/>
    </row>
    <row r="255" spans="1:19">
      <c r="E255" s="512"/>
    </row>
    <row r="256" spans="1:19">
      <c r="E256" s="512"/>
    </row>
    <row r="257" spans="5:5">
      <c r="E257" s="512"/>
    </row>
    <row r="258" spans="5:5">
      <c r="E258" s="512"/>
    </row>
    <row r="259" spans="5:5">
      <c r="E259" s="512"/>
    </row>
    <row r="260" spans="5:5">
      <c r="E260" s="512"/>
    </row>
    <row r="261" spans="5:5">
      <c r="E261" s="512"/>
    </row>
    <row r="262" spans="5:5">
      <c r="E262" s="512"/>
    </row>
    <row r="263" spans="5:5">
      <c r="E263" s="512"/>
    </row>
    <row r="264" spans="5:5">
      <c r="E264" s="512"/>
    </row>
    <row r="265" spans="5:5">
      <c r="E265" s="512"/>
    </row>
    <row r="266" spans="5:5">
      <c r="E266" s="512"/>
    </row>
    <row r="267" spans="5:5">
      <c r="E267" s="512"/>
    </row>
    <row r="268" spans="5:5">
      <c r="E268" s="512"/>
    </row>
    <row r="269" spans="5:5">
      <c r="E269" s="512"/>
    </row>
    <row r="270" spans="5:5">
      <c r="E270" s="512"/>
    </row>
    <row r="271" spans="5:5">
      <c r="E271" s="512"/>
    </row>
    <row r="272" spans="5:5">
      <c r="E272" s="512"/>
    </row>
    <row r="273" spans="5:5">
      <c r="E273" s="512"/>
    </row>
    <row r="274" spans="5:5">
      <c r="E274" s="512"/>
    </row>
    <row r="275" spans="5:5">
      <c r="E275" s="512"/>
    </row>
    <row r="276" spans="5:5">
      <c r="E276" s="512"/>
    </row>
    <row r="277" spans="5:5">
      <c r="E277" s="512"/>
    </row>
    <row r="278" spans="5:5">
      <c r="E278" s="512"/>
    </row>
    <row r="279" spans="5:5">
      <c r="E279" s="512"/>
    </row>
    <row r="280" spans="5:5">
      <c r="E280" s="512"/>
    </row>
    <row r="281" spans="5:5">
      <c r="E281" s="512"/>
    </row>
    <row r="282" spans="5:5">
      <c r="E282" s="512"/>
    </row>
    <row r="283" spans="5:5">
      <c r="E283" s="512"/>
    </row>
    <row r="284" spans="5:5">
      <c r="E284" s="512"/>
    </row>
    <row r="285" spans="5:5">
      <c r="E285" s="512"/>
    </row>
    <row r="286" spans="5:5">
      <c r="E286" s="512"/>
    </row>
    <row r="287" spans="5:5">
      <c r="E287" s="512"/>
    </row>
    <row r="288" spans="5:5">
      <c r="E288" s="512"/>
    </row>
    <row r="289" spans="5:5">
      <c r="E289" s="512"/>
    </row>
    <row r="290" spans="5:5">
      <c r="E290" s="512"/>
    </row>
    <row r="291" spans="5:5">
      <c r="E291" s="512"/>
    </row>
    <row r="292" spans="5:5">
      <c r="E292" s="512"/>
    </row>
    <row r="293" spans="5:5">
      <c r="E293" s="512"/>
    </row>
    <row r="294" spans="5:5">
      <c r="E294" s="512"/>
    </row>
    <row r="295" spans="5:5">
      <c r="E295" s="512"/>
    </row>
    <row r="296" spans="5:5">
      <c r="E296" s="512"/>
    </row>
    <row r="297" spans="5:5">
      <c r="E297" s="512"/>
    </row>
    <row r="298" spans="5:5">
      <c r="E298" s="512"/>
    </row>
    <row r="299" spans="5:5">
      <c r="E299" s="512"/>
    </row>
    <row r="300" spans="5:5">
      <c r="E300" s="512"/>
    </row>
    <row r="301" spans="5:5">
      <c r="E301" s="512"/>
    </row>
    <row r="302" spans="5:5">
      <c r="E302" s="512"/>
    </row>
    <row r="303" spans="5:5">
      <c r="E303" s="512"/>
    </row>
    <row r="304" spans="5:5">
      <c r="E304" s="512"/>
    </row>
    <row r="305" spans="5:5">
      <c r="E305" s="512"/>
    </row>
    <row r="306" spans="5:5">
      <c r="E306" s="512"/>
    </row>
    <row r="307" spans="5:5">
      <c r="E307" s="512"/>
    </row>
    <row r="308" spans="5:5">
      <c r="E308" s="512"/>
    </row>
    <row r="309" spans="5:5">
      <c r="E309" s="512"/>
    </row>
    <row r="310" spans="5:5">
      <c r="E310" s="512"/>
    </row>
    <row r="311" spans="5:5">
      <c r="E311" s="512"/>
    </row>
    <row r="312" spans="5:5">
      <c r="E312" s="512"/>
    </row>
    <row r="313" spans="5:5">
      <c r="E313" s="512"/>
    </row>
    <row r="314" spans="5:5">
      <c r="E314" s="512"/>
    </row>
    <row r="315" spans="5:5">
      <c r="E315" s="512"/>
    </row>
    <row r="316" spans="5:5">
      <c r="E316" s="512"/>
    </row>
    <row r="317" spans="5:5">
      <c r="E317" s="512"/>
    </row>
    <row r="318" spans="5:5">
      <c r="E318" s="512"/>
    </row>
    <row r="319" spans="5:5">
      <c r="E319" s="512"/>
    </row>
    <row r="320" spans="5:5">
      <c r="E320" s="512"/>
    </row>
    <row r="321" spans="5:5">
      <c r="E321" s="512"/>
    </row>
    <row r="322" spans="5:5">
      <c r="E322" s="512"/>
    </row>
    <row r="323" spans="5:5">
      <c r="E323" s="512"/>
    </row>
  </sheetData>
  <autoFilter ref="A10:T335" xr:uid="{D3878DDB-6055-4C9E-8F8B-30C0D7C58953}">
    <filterColumn colId="19" showButton="0"/>
  </autoFilter>
  <mergeCells count="19">
    <mergeCell ref="F8:F9"/>
    <mergeCell ref="G8:G9"/>
    <mergeCell ref="I8:K8"/>
    <mergeCell ref="L8:N8"/>
    <mergeCell ref="C226:D226"/>
    <mergeCell ref="N228:O228"/>
    <mergeCell ref="C245:D245"/>
    <mergeCell ref="A3:T3"/>
    <mergeCell ref="A4:T4"/>
    <mergeCell ref="A7:A9"/>
    <mergeCell ref="B7:B9"/>
    <mergeCell ref="C7:D9"/>
    <mergeCell ref="E7:G7"/>
    <mergeCell ref="H7:H9"/>
    <mergeCell ref="I7:N7"/>
    <mergeCell ref="O7:P8"/>
    <mergeCell ref="Q7:S8"/>
    <mergeCell ref="T7:T9"/>
    <mergeCell ref="E8:E9"/>
  </mergeCells>
  <printOptions horizontalCentered="1"/>
  <pageMargins left="0.31496062992125984" right="0.31496062992125984" top="0.94488188976377963" bottom="0.31496062992125984" header="0.31496062992125984" footer="0.31496062992125984"/>
  <pageSetup paperSize="14" scale="72" firstPageNumber="16" orientation="landscape" useFirstPageNumber="1" horizontalDpi="4294967293" r:id="rId1"/>
  <headerFooter>
    <oddFooter>&amp;C-- &amp;P --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Lamp I</vt:lpstr>
      <vt:lpstr>Realisasi</vt:lpstr>
      <vt:lpstr>CALK</vt:lpstr>
      <vt:lpstr>Lampiran II</vt:lpstr>
      <vt:lpstr>Lampiran III</vt:lpstr>
      <vt:lpstr>Aset Per 31 Desember 2025</vt:lpstr>
      <vt:lpstr>Mutasi Aset_2025</vt:lpstr>
      <vt:lpstr>'Aset Per 31 Desember 2025'!Print_Area</vt:lpstr>
      <vt:lpstr>CALK!Print_Area</vt:lpstr>
      <vt:lpstr>'Mutasi Aset_2025'!Print_Area</vt:lpstr>
      <vt:lpstr>Realisasi!Print_Area</vt:lpstr>
      <vt:lpstr>'Aset Per 31 Desember 2025'!Print_Titles</vt:lpstr>
      <vt:lpstr>'Lampiran II'!Print_Titles</vt:lpstr>
      <vt:lpstr>'Mutasi Aset_2025'!Print_Titles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Fahrudin1996@outlook.com</dc:creator>
  <cp:lastModifiedBy>i5</cp:lastModifiedBy>
  <cp:lastPrinted>2026-01-26T09:28:23Z</cp:lastPrinted>
  <dcterms:created xsi:type="dcterms:W3CDTF">2025-01-22T08:27:22Z</dcterms:created>
  <dcterms:modified xsi:type="dcterms:W3CDTF">2026-03-27T01:57:21Z</dcterms:modified>
</cp:coreProperties>
</file>